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voaaus.sharepoint.com/Shared Documents/APA Local Guidance/"/>
    </mc:Choice>
  </mc:AlternateContent>
  <xr:revisionPtr revIDLastSave="0" documentId="8_{A75A38E1-DC6C-45BE-95EB-539F6AA51A04}" xr6:coauthVersionLast="47" xr6:coauthVersionMax="47" xr10:uidLastSave="{00000000-0000-0000-0000-000000000000}"/>
  <bookViews>
    <workbookView xWindow="-120" yWindow="-120" windowWidth="29040" windowHeight="15840" xr2:uid="{3FD38F10-49DA-49D6-8DC5-C0A3339CE724}"/>
  </bookViews>
  <sheets>
    <sheet name="Locality Look-Up Tool" sheetId="42" r:id="rId1"/>
    <sheet name="Totals and MOU%s" sheetId="30" state="hidden" r:id="rId2"/>
    <sheet name="Dist - VA Totals" sheetId="7" state="hidden" r:id="rId3"/>
    <sheet name="Jan - VA Totals" sheetId="11" state="hidden" r:id="rId4"/>
    <sheet name="Local allocations" sheetId="31" state="hidden" r:id="rId5"/>
  </sheets>
  <definedNames>
    <definedName name="_xlnm._FilterDatabase" localSheetId="4" hidden="1">'Local allocations'!$A$6:$R$139</definedName>
    <definedName name="Index_Sheet_Kutools" localSheetId="0">#REF!</definedName>
    <definedName name="Index_Sheet_Kutoo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1" i="42" l="1"/>
  <c r="M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C5" i="42"/>
  <c r="F36" i="42"/>
  <c r="B15" i="42"/>
  <c r="D35" i="42" l="1"/>
  <c r="D18" i="42"/>
  <c r="K43" i="30" l="1"/>
  <c r="L43" i="30" s="1"/>
  <c r="K31" i="30"/>
  <c r="L31" i="30" s="1"/>
  <c r="K20" i="30"/>
  <c r="L20" i="30" s="1"/>
  <c r="K19" i="30"/>
  <c r="L19" i="30" s="1"/>
  <c r="K9" i="30"/>
  <c r="L9" i="30" s="1"/>
  <c r="K10" i="30"/>
  <c r="L10" i="30" s="1"/>
  <c r="K11" i="30"/>
  <c r="L11" i="30" s="1"/>
  <c r="K12" i="30"/>
  <c r="L12" i="30" s="1"/>
  <c r="K13" i="30"/>
  <c r="L13" i="30" s="1"/>
  <c r="K14" i="30"/>
  <c r="L14" i="30" s="1"/>
  <c r="K15" i="30"/>
  <c r="L15" i="30" s="1"/>
  <c r="K16" i="30"/>
  <c r="L16" i="30" s="1"/>
  <c r="K17" i="30"/>
  <c r="L17" i="30" s="1"/>
  <c r="K18" i="30"/>
  <c r="L18" i="30" s="1"/>
  <c r="K21" i="30"/>
  <c r="L21" i="30" s="1"/>
  <c r="K22" i="30"/>
  <c r="L22" i="30" s="1"/>
  <c r="K23" i="30"/>
  <c r="L23" i="30" s="1"/>
  <c r="K24" i="30"/>
  <c r="L24" i="30" s="1"/>
  <c r="K25" i="30"/>
  <c r="L25" i="30" s="1"/>
  <c r="K26" i="30"/>
  <c r="L26" i="30" s="1"/>
  <c r="K27" i="30"/>
  <c r="L27" i="30" s="1"/>
  <c r="K28" i="30"/>
  <c r="L28" i="30" s="1"/>
  <c r="K29" i="30"/>
  <c r="L29" i="30" s="1"/>
  <c r="K30" i="30"/>
  <c r="L30" i="30" s="1"/>
  <c r="K32" i="30"/>
  <c r="L32" i="30" s="1"/>
  <c r="K33" i="30"/>
  <c r="L33" i="30" s="1"/>
  <c r="K34" i="30"/>
  <c r="L34" i="30" s="1"/>
  <c r="K35" i="30"/>
  <c r="L35" i="30" s="1"/>
  <c r="K36" i="30"/>
  <c r="L36" i="30" s="1"/>
  <c r="K37" i="30"/>
  <c r="L37" i="30" s="1"/>
  <c r="K38" i="30"/>
  <c r="L38" i="30" s="1"/>
  <c r="K39" i="30"/>
  <c r="L39" i="30" s="1"/>
  <c r="K40" i="30"/>
  <c r="L40" i="30" s="1"/>
  <c r="K41" i="30"/>
  <c r="L41" i="30" s="1"/>
  <c r="K42" i="30"/>
  <c r="L42" i="30" s="1"/>
  <c r="K44" i="30"/>
  <c r="L44" i="30" s="1"/>
  <c r="K45" i="30"/>
  <c r="L45" i="30" s="1"/>
  <c r="K46" i="30"/>
  <c r="L46" i="30" s="1"/>
  <c r="K47" i="30"/>
  <c r="L47" i="30" s="1"/>
  <c r="K48" i="30"/>
  <c r="L48" i="30" s="1"/>
  <c r="K49" i="30"/>
  <c r="L49" i="30" s="1"/>
  <c r="K50" i="30"/>
  <c r="L50" i="30" s="1"/>
  <c r="K51" i="30"/>
  <c r="L51" i="30" s="1"/>
  <c r="K52" i="30"/>
  <c r="L52" i="30" s="1"/>
  <c r="K53" i="30"/>
  <c r="L53" i="30" s="1"/>
  <c r="K54" i="30"/>
  <c r="L54" i="30" s="1"/>
  <c r="K55" i="30"/>
  <c r="L55" i="30" s="1"/>
  <c r="K56" i="30"/>
  <c r="L56" i="30" s="1"/>
  <c r="K57" i="30"/>
  <c r="L57" i="30" s="1"/>
  <c r="K58" i="30"/>
  <c r="L58" i="30" s="1"/>
  <c r="K59" i="30"/>
  <c r="L59" i="30" s="1"/>
  <c r="K60" i="30"/>
  <c r="L60" i="30" s="1"/>
  <c r="K61" i="30"/>
  <c r="L61" i="30" s="1"/>
  <c r="K62" i="30"/>
  <c r="L62" i="30" s="1"/>
  <c r="K63" i="30"/>
  <c r="L63" i="30" s="1"/>
  <c r="K64" i="30"/>
  <c r="L64" i="30" s="1"/>
  <c r="K65" i="30"/>
  <c r="L65" i="30" s="1"/>
  <c r="K66" i="30"/>
  <c r="L66" i="30" s="1"/>
  <c r="K67" i="30"/>
  <c r="L67" i="30" s="1"/>
  <c r="K68" i="30"/>
  <c r="L68" i="30" s="1"/>
  <c r="K69" i="30"/>
  <c r="L69" i="30" s="1"/>
  <c r="K70" i="30"/>
  <c r="L70" i="30" s="1"/>
  <c r="K71" i="30"/>
  <c r="L71" i="30" s="1"/>
  <c r="K72" i="30"/>
  <c r="L72" i="30" s="1"/>
  <c r="K73" i="30"/>
  <c r="L73" i="30" s="1"/>
  <c r="K74" i="30"/>
  <c r="L74" i="30" s="1"/>
  <c r="K75" i="30"/>
  <c r="L75" i="30" s="1"/>
  <c r="K76" i="30"/>
  <c r="L76" i="30" s="1"/>
  <c r="K77" i="30"/>
  <c r="L77" i="30" s="1"/>
  <c r="K78" i="30"/>
  <c r="L78" i="30" s="1"/>
  <c r="K79" i="30"/>
  <c r="L79" i="30" s="1"/>
  <c r="K80" i="30"/>
  <c r="L80" i="30" s="1"/>
  <c r="K81" i="30"/>
  <c r="L81" i="30" s="1"/>
  <c r="K82" i="30"/>
  <c r="L82" i="30" s="1"/>
  <c r="K83" i="30"/>
  <c r="L83" i="30" s="1"/>
  <c r="K84" i="30"/>
  <c r="L84" i="30" s="1"/>
  <c r="K85" i="30"/>
  <c r="L85" i="30" s="1"/>
  <c r="K86" i="30"/>
  <c r="L86" i="30" s="1"/>
  <c r="K87" i="30"/>
  <c r="L87" i="30" s="1"/>
  <c r="K88" i="30"/>
  <c r="L88" i="30" s="1"/>
  <c r="K89" i="30"/>
  <c r="L89" i="30" s="1"/>
  <c r="K90" i="30"/>
  <c r="L90" i="30" s="1"/>
  <c r="K91" i="30"/>
  <c r="L91" i="30" s="1"/>
  <c r="K92" i="30"/>
  <c r="L92" i="30" s="1"/>
  <c r="K93" i="30"/>
  <c r="L93" i="30" s="1"/>
  <c r="K94" i="30"/>
  <c r="L94" i="30" s="1"/>
  <c r="K95" i="30"/>
  <c r="L95" i="30" s="1"/>
  <c r="K96" i="30"/>
  <c r="L96" i="30" s="1"/>
  <c r="K97" i="30"/>
  <c r="L97" i="30" s="1"/>
  <c r="K98" i="30"/>
  <c r="L98" i="30" s="1"/>
  <c r="K99" i="30"/>
  <c r="L99" i="30" s="1"/>
  <c r="K100" i="30"/>
  <c r="L100" i="30" s="1"/>
  <c r="K101" i="30"/>
  <c r="L101" i="30" s="1"/>
  <c r="K102" i="30"/>
  <c r="L102" i="30" s="1"/>
  <c r="K103" i="30"/>
  <c r="L103" i="30" s="1"/>
  <c r="K104" i="30"/>
  <c r="L104" i="30" s="1"/>
  <c r="K105" i="30"/>
  <c r="L105" i="30" s="1"/>
  <c r="K106" i="30"/>
  <c r="L106" i="30" s="1"/>
  <c r="K107" i="30"/>
  <c r="L107" i="30" s="1"/>
  <c r="K108" i="30"/>
  <c r="L108" i="30" s="1"/>
  <c r="K109" i="30"/>
  <c r="L109" i="30" s="1"/>
  <c r="K110" i="30"/>
  <c r="L110" i="30" s="1"/>
  <c r="K111" i="30"/>
  <c r="L111" i="30" s="1"/>
  <c r="K112" i="30"/>
  <c r="L112" i="30" s="1"/>
  <c r="K113" i="30"/>
  <c r="L113" i="30" s="1"/>
  <c r="K114" i="30"/>
  <c r="L114" i="30" s="1"/>
  <c r="K115" i="30"/>
  <c r="L115" i="30" s="1"/>
  <c r="K116" i="30"/>
  <c r="L116" i="30" s="1"/>
  <c r="K117" i="30"/>
  <c r="L117" i="30" s="1"/>
  <c r="K118" i="30"/>
  <c r="L118" i="30" s="1"/>
  <c r="K119" i="30"/>
  <c r="L119" i="30" s="1"/>
  <c r="K120" i="30"/>
  <c r="L120" i="30" s="1"/>
  <c r="K121" i="30"/>
  <c r="L121" i="30" s="1"/>
  <c r="K122" i="30"/>
  <c r="L122" i="30" s="1"/>
  <c r="K123" i="30"/>
  <c r="L123" i="30" s="1"/>
  <c r="K124" i="30"/>
  <c r="L124" i="30" s="1"/>
  <c r="K125" i="30"/>
  <c r="L125" i="30" s="1"/>
  <c r="K126" i="30"/>
  <c r="L126" i="30" s="1"/>
  <c r="K127" i="30"/>
  <c r="L127" i="30" s="1"/>
  <c r="K128" i="30"/>
  <c r="L128" i="30" s="1"/>
  <c r="K129" i="30"/>
  <c r="L129" i="30" s="1"/>
  <c r="K130" i="30"/>
  <c r="L130" i="30" s="1"/>
  <c r="K131" i="30"/>
  <c r="L131" i="30" s="1"/>
  <c r="K132" i="30"/>
  <c r="L132" i="30" s="1"/>
  <c r="K133" i="30"/>
  <c r="L133" i="30" s="1"/>
  <c r="K134" i="30"/>
  <c r="L134" i="30" s="1"/>
  <c r="K135" i="30"/>
  <c r="L135" i="30" s="1"/>
  <c r="K136" i="30"/>
  <c r="L136" i="30" s="1"/>
  <c r="K137" i="30"/>
  <c r="L137" i="30" s="1"/>
  <c r="K138" i="30"/>
  <c r="L138" i="30" s="1"/>
  <c r="K139" i="30"/>
  <c r="L139" i="30" s="1"/>
  <c r="K8" i="30"/>
  <c r="L8" i="30" s="1"/>
  <c r="K7" i="30"/>
  <c r="L7" i="30" s="1"/>
  <c r="D8" i="31"/>
  <c r="P8" i="31" s="1"/>
  <c r="D9" i="31"/>
  <c r="P9" i="31" s="1"/>
  <c r="D10" i="31"/>
  <c r="P10" i="31" s="1"/>
  <c r="D11" i="31"/>
  <c r="P11" i="31" s="1"/>
  <c r="D12" i="31"/>
  <c r="P12" i="31" s="1"/>
  <c r="D13" i="31"/>
  <c r="P13" i="31" s="1"/>
  <c r="D14" i="31"/>
  <c r="P14" i="31" s="1"/>
  <c r="D15" i="31"/>
  <c r="P15" i="31" s="1"/>
  <c r="D16" i="31"/>
  <c r="P16" i="31" s="1"/>
  <c r="D17" i="31"/>
  <c r="P17" i="31" s="1"/>
  <c r="D18" i="31"/>
  <c r="P18" i="31" s="1"/>
  <c r="D19" i="31"/>
  <c r="D20" i="31"/>
  <c r="P20" i="31" s="1"/>
  <c r="D21" i="31"/>
  <c r="P21" i="31" s="1"/>
  <c r="D22" i="31"/>
  <c r="P22" i="31" s="1"/>
  <c r="D23" i="31"/>
  <c r="P23" i="31" s="1"/>
  <c r="D24" i="31"/>
  <c r="P24" i="31" s="1"/>
  <c r="D25" i="31"/>
  <c r="P25" i="31" s="1"/>
  <c r="D26" i="31"/>
  <c r="P26" i="31" s="1"/>
  <c r="D27" i="31"/>
  <c r="P27" i="31" s="1"/>
  <c r="D28" i="31"/>
  <c r="P28" i="31" s="1"/>
  <c r="D29" i="31"/>
  <c r="P29" i="31" s="1"/>
  <c r="D30" i="31"/>
  <c r="P30" i="31" s="1"/>
  <c r="D31" i="31"/>
  <c r="D32" i="31"/>
  <c r="P32" i="31" s="1"/>
  <c r="D33" i="31"/>
  <c r="P33" i="31" s="1"/>
  <c r="D34" i="31"/>
  <c r="P34" i="31" s="1"/>
  <c r="D35" i="31"/>
  <c r="P35" i="31" s="1"/>
  <c r="D36" i="31"/>
  <c r="P36" i="31" s="1"/>
  <c r="D37" i="31"/>
  <c r="P37" i="31" s="1"/>
  <c r="D38" i="31"/>
  <c r="P38" i="31" s="1"/>
  <c r="D39" i="31"/>
  <c r="P39" i="31" s="1"/>
  <c r="D40" i="31"/>
  <c r="P40" i="31" s="1"/>
  <c r="D41" i="31"/>
  <c r="P41" i="31" s="1"/>
  <c r="D42" i="31"/>
  <c r="P42" i="31" s="1"/>
  <c r="D43" i="31"/>
  <c r="D45" i="31"/>
  <c r="P45" i="31" s="1"/>
  <c r="D44" i="31"/>
  <c r="P44" i="31" s="1"/>
  <c r="D46" i="31"/>
  <c r="P46" i="31" s="1"/>
  <c r="D47" i="31"/>
  <c r="P47" i="31" s="1"/>
  <c r="D48" i="31"/>
  <c r="P48" i="31" s="1"/>
  <c r="D49" i="31"/>
  <c r="P49" i="31" s="1"/>
  <c r="D51" i="31"/>
  <c r="P51" i="31" s="1"/>
  <c r="D50" i="31"/>
  <c r="P50" i="31" s="1"/>
  <c r="D52" i="31"/>
  <c r="P52" i="31" s="1"/>
  <c r="D53" i="31"/>
  <c r="P53" i="31" s="1"/>
  <c r="D54" i="31"/>
  <c r="P54" i="31" s="1"/>
  <c r="D55" i="31"/>
  <c r="D56" i="31"/>
  <c r="P56" i="31" s="1"/>
  <c r="D57" i="31"/>
  <c r="P57" i="31" s="1"/>
  <c r="D58" i="31"/>
  <c r="P58" i="31" s="1"/>
  <c r="D59" i="31"/>
  <c r="P59" i="31" s="1"/>
  <c r="D60" i="31"/>
  <c r="P60" i="31" s="1"/>
  <c r="D61" i="31"/>
  <c r="P61" i="31" s="1"/>
  <c r="D62" i="31"/>
  <c r="P62" i="31" s="1"/>
  <c r="D63" i="31"/>
  <c r="P63" i="31" s="1"/>
  <c r="D64" i="31"/>
  <c r="P64" i="31" s="1"/>
  <c r="D65" i="31"/>
  <c r="P65" i="31" s="1"/>
  <c r="D66" i="31"/>
  <c r="P66" i="31" s="1"/>
  <c r="D67" i="31"/>
  <c r="D68" i="31"/>
  <c r="P68" i="31" s="1"/>
  <c r="D69" i="31"/>
  <c r="P69" i="31" s="1"/>
  <c r="D70" i="31"/>
  <c r="P70" i="31" s="1"/>
  <c r="D72" i="31"/>
  <c r="P72" i="31" s="1"/>
  <c r="D73" i="31"/>
  <c r="P73" i="31" s="1"/>
  <c r="D71" i="31"/>
  <c r="P71" i="31" s="1"/>
  <c r="D74" i="31"/>
  <c r="P74" i="31" s="1"/>
  <c r="D75" i="31"/>
  <c r="P75" i="31" s="1"/>
  <c r="D76" i="31"/>
  <c r="P76" i="31" s="1"/>
  <c r="D77" i="31"/>
  <c r="P77" i="31" s="1"/>
  <c r="D78" i="31"/>
  <c r="P78" i="31" s="1"/>
  <c r="D79" i="31"/>
  <c r="P79" i="31" s="1"/>
  <c r="D80" i="31"/>
  <c r="P80" i="31" s="1"/>
  <c r="D81" i="31"/>
  <c r="P81" i="31" s="1"/>
  <c r="D82" i="31"/>
  <c r="P82" i="31" s="1"/>
  <c r="D83" i="31"/>
  <c r="P83" i="31" s="1"/>
  <c r="D84" i="31"/>
  <c r="P84" i="31" s="1"/>
  <c r="D85" i="31"/>
  <c r="P85" i="31" s="1"/>
  <c r="D86" i="31"/>
  <c r="P86" i="31" s="1"/>
  <c r="D87" i="31"/>
  <c r="P87" i="31" s="1"/>
  <c r="D88" i="31"/>
  <c r="P88" i="31" s="1"/>
  <c r="D89" i="31"/>
  <c r="P89" i="31" s="1"/>
  <c r="D90" i="31"/>
  <c r="P90" i="31" s="1"/>
  <c r="D91" i="31"/>
  <c r="P91" i="31" s="1"/>
  <c r="D92" i="31"/>
  <c r="P92" i="31" s="1"/>
  <c r="D93" i="31"/>
  <c r="P93" i="31" s="1"/>
  <c r="D94" i="31"/>
  <c r="P94" i="31" s="1"/>
  <c r="D95" i="31"/>
  <c r="P95" i="31" s="1"/>
  <c r="D96" i="31"/>
  <c r="P96" i="31" s="1"/>
  <c r="D97" i="31"/>
  <c r="P97" i="31" s="1"/>
  <c r="D98" i="31"/>
  <c r="P98" i="31" s="1"/>
  <c r="D99" i="31"/>
  <c r="P99" i="31" s="1"/>
  <c r="D100" i="31"/>
  <c r="P100" i="31" s="1"/>
  <c r="D101" i="31"/>
  <c r="P101" i="31" s="1"/>
  <c r="D102" i="31"/>
  <c r="P102" i="31" s="1"/>
  <c r="D103" i="31"/>
  <c r="P103" i="31" s="1"/>
  <c r="D104" i="31"/>
  <c r="P104" i="31" s="1"/>
  <c r="D105" i="31"/>
  <c r="P105" i="31" s="1"/>
  <c r="D106" i="31"/>
  <c r="P106" i="31" s="1"/>
  <c r="D107" i="31"/>
  <c r="P107" i="31" s="1"/>
  <c r="D108" i="31"/>
  <c r="P108" i="31" s="1"/>
  <c r="D109" i="31"/>
  <c r="P109" i="31" s="1"/>
  <c r="D110" i="31"/>
  <c r="P110" i="31" s="1"/>
  <c r="D112" i="31"/>
  <c r="P112" i="31" s="1"/>
  <c r="D111" i="31"/>
  <c r="P111" i="31" s="1"/>
  <c r="D114" i="31"/>
  <c r="P114" i="31" s="1"/>
  <c r="D113" i="31"/>
  <c r="P113" i="31" s="1"/>
  <c r="D115" i="31"/>
  <c r="P115" i="31" s="1"/>
  <c r="D116" i="31"/>
  <c r="P116" i="31" s="1"/>
  <c r="D117" i="31"/>
  <c r="P117" i="31" s="1"/>
  <c r="D118" i="31"/>
  <c r="P118" i="31" s="1"/>
  <c r="D119" i="31"/>
  <c r="P119" i="31" s="1"/>
  <c r="D120" i="31"/>
  <c r="P120" i="31" s="1"/>
  <c r="D121" i="31"/>
  <c r="P121" i="31" s="1"/>
  <c r="D122" i="31"/>
  <c r="P122" i="31" s="1"/>
  <c r="D123" i="31"/>
  <c r="P123" i="31" s="1"/>
  <c r="D124" i="31"/>
  <c r="P124" i="31" s="1"/>
  <c r="D125" i="31"/>
  <c r="P125" i="31" s="1"/>
  <c r="D126" i="31"/>
  <c r="P126" i="31" s="1"/>
  <c r="D127" i="31"/>
  <c r="P127" i="31" s="1"/>
  <c r="D128" i="31"/>
  <c r="P128" i="31" s="1"/>
  <c r="D129" i="31"/>
  <c r="P129" i="31" s="1"/>
  <c r="D130" i="31"/>
  <c r="P130" i="31" s="1"/>
  <c r="D131" i="31"/>
  <c r="P131" i="31" s="1"/>
  <c r="D132" i="31"/>
  <c r="P132" i="31" s="1"/>
  <c r="D133" i="31"/>
  <c r="P133" i="31" s="1"/>
  <c r="D134" i="31"/>
  <c r="P134" i="31" s="1"/>
  <c r="D135" i="31"/>
  <c r="P135" i="31" s="1"/>
  <c r="D136" i="31"/>
  <c r="P136" i="31" s="1"/>
  <c r="D137" i="31"/>
  <c r="P137" i="31" s="1"/>
  <c r="D138" i="31"/>
  <c r="P138" i="31" s="1"/>
  <c r="D139" i="31"/>
  <c r="P139" i="31" s="1"/>
  <c r="D7" i="31"/>
  <c r="P7" i="31" l="1"/>
  <c r="P67" i="31"/>
  <c r="P55" i="31"/>
  <c r="P43" i="31"/>
  <c r="P31" i="31"/>
  <c r="P19" i="31"/>
  <c r="O139" i="31"/>
  <c r="O127" i="31"/>
  <c r="O115" i="31"/>
  <c r="O103" i="31"/>
  <c r="O91" i="31"/>
  <c r="O79" i="31"/>
  <c r="O67" i="31"/>
  <c r="O55" i="31"/>
  <c r="O43" i="31"/>
  <c r="O31" i="31"/>
  <c r="O19" i="31"/>
  <c r="O138" i="31"/>
  <c r="O126" i="31"/>
  <c r="O114" i="31"/>
  <c r="O102" i="31"/>
  <c r="O90" i="31"/>
  <c r="O78" i="31"/>
  <c r="O66" i="31"/>
  <c r="O54" i="31"/>
  <c r="O42" i="31"/>
  <c r="O30" i="31"/>
  <c r="O18" i="31"/>
  <c r="O137" i="31"/>
  <c r="O125" i="31"/>
  <c r="O113" i="31"/>
  <c r="O101" i="31"/>
  <c r="O89" i="31"/>
  <c r="O77" i="31"/>
  <c r="O65" i="31"/>
  <c r="O53" i="31"/>
  <c r="O41" i="31"/>
  <c r="O29" i="31"/>
  <c r="O17" i="31"/>
  <c r="O136" i="31"/>
  <c r="O124" i="31"/>
  <c r="O112" i="31"/>
  <c r="O100" i="31"/>
  <c r="O88" i="31"/>
  <c r="O76" i="31"/>
  <c r="O64" i="31"/>
  <c r="O52" i="31"/>
  <c r="O40" i="31"/>
  <c r="O28" i="31"/>
  <c r="O16" i="31"/>
  <c r="O135" i="31"/>
  <c r="O123" i="31"/>
  <c r="O111" i="31"/>
  <c r="O99" i="31"/>
  <c r="O87" i="31"/>
  <c r="O75" i="31"/>
  <c r="O63" i="31"/>
  <c r="O51" i="31"/>
  <c r="O39" i="31"/>
  <c r="O27" i="31"/>
  <c r="O15" i="31"/>
  <c r="O134" i="31"/>
  <c r="O122" i="31"/>
  <c r="O110" i="31"/>
  <c r="O98" i="31"/>
  <c r="O86" i="31"/>
  <c r="O74" i="31"/>
  <c r="O62" i="31"/>
  <c r="O50" i="31"/>
  <c r="O38" i="31"/>
  <c r="O26" i="31"/>
  <c r="O14" i="31"/>
  <c r="O133" i="31"/>
  <c r="O121" i="31"/>
  <c r="O109" i="31"/>
  <c r="O97" i="31"/>
  <c r="O85" i="31"/>
  <c r="O73" i="31"/>
  <c r="O61" i="31"/>
  <c r="O49" i="31"/>
  <c r="O37" i="31"/>
  <c r="O25" i="31"/>
  <c r="O13" i="31"/>
  <c r="O132" i="31"/>
  <c r="O120" i="31"/>
  <c r="O108" i="31"/>
  <c r="O96" i="31"/>
  <c r="O84" i="31"/>
  <c r="O72" i="31"/>
  <c r="O60" i="31"/>
  <c r="O48" i="31"/>
  <c r="O36" i="31"/>
  <c r="O24" i="31"/>
  <c r="O12" i="31"/>
  <c r="O131" i="31"/>
  <c r="O119" i="31"/>
  <c r="O107" i="31"/>
  <c r="O95" i="31"/>
  <c r="O83" i="31"/>
  <c r="O71" i="31"/>
  <c r="O59" i="31"/>
  <c r="O47" i="31"/>
  <c r="O35" i="31"/>
  <c r="O23" i="31"/>
  <c r="O11" i="31"/>
  <c r="O130" i="31"/>
  <c r="O118" i="31"/>
  <c r="O106" i="31"/>
  <c r="O94" i="31"/>
  <c r="O82" i="31"/>
  <c r="O70" i="31"/>
  <c r="O58" i="31"/>
  <c r="O46" i="31"/>
  <c r="O34" i="31"/>
  <c r="O22" i="31"/>
  <c r="O10" i="31"/>
  <c r="O129" i="31"/>
  <c r="O117" i="31"/>
  <c r="O105" i="31"/>
  <c r="O93" i="31"/>
  <c r="O81" i="31"/>
  <c r="O69" i="31"/>
  <c r="O57" i="31"/>
  <c r="O45" i="31"/>
  <c r="O33" i="31"/>
  <c r="O21" i="31"/>
  <c r="O9" i="31"/>
  <c r="O7" i="31"/>
  <c r="O128" i="31"/>
  <c r="O116" i="31"/>
  <c r="O104" i="31"/>
  <c r="O92" i="31"/>
  <c r="O80" i="31"/>
  <c r="O68" i="31"/>
  <c r="O56" i="31"/>
  <c r="O44" i="31"/>
  <c r="O32" i="31"/>
  <c r="O20" i="31"/>
  <c r="O8" i="31"/>
  <c r="E37" i="11" l="1"/>
  <c r="C42" i="11"/>
  <c r="N15" i="11"/>
  <c r="N18" i="11"/>
  <c r="N19" i="11"/>
  <c r="N14" i="11"/>
  <c r="E25" i="11"/>
  <c r="U14" i="7"/>
  <c r="U15" i="7"/>
  <c r="U16" i="7"/>
  <c r="U17" i="7"/>
  <c r="U18" i="7"/>
  <c r="U13" i="7"/>
  <c r="B22" i="7"/>
  <c r="B34" i="7" l="1"/>
  <c r="D12" i="30"/>
  <c r="D10" i="30"/>
  <c r="D11" i="30"/>
  <c r="D19" i="30"/>
  <c r="D20" i="30"/>
  <c r="D21" i="30"/>
  <c r="D22" i="30"/>
  <c r="D23" i="30"/>
  <c r="D24" i="30"/>
  <c r="M19" i="11"/>
  <c r="M18" i="11"/>
  <c r="M15" i="11"/>
  <c r="M14" i="11"/>
  <c r="K26" i="7"/>
  <c r="K38" i="7" s="1"/>
  <c r="T18" i="7"/>
  <c r="T17" i="7"/>
  <c r="T16" i="7"/>
  <c r="T15" i="7"/>
  <c r="T14" i="7"/>
  <c r="T13" i="7"/>
  <c r="E22" i="7"/>
  <c r="D30" i="42" l="1"/>
  <c r="D34" i="42"/>
  <c r="D33" i="42"/>
  <c r="D32" i="42"/>
  <c r="D31" i="42"/>
  <c r="D29" i="42"/>
  <c r="D21" i="42"/>
  <c r="D20" i="42"/>
  <c r="D22" i="42"/>
  <c r="E34" i="7"/>
  <c r="T22" i="7"/>
  <c r="L30" i="11"/>
  <c r="L42" i="11" s="1"/>
  <c r="K30" i="11"/>
  <c r="K42" i="11" s="1"/>
  <c r="J30" i="11"/>
  <c r="J42" i="11" s="1"/>
  <c r="I30" i="11"/>
  <c r="I42" i="11" s="1"/>
  <c r="H30" i="11"/>
  <c r="H42" i="11" s="1"/>
  <c r="G30" i="11"/>
  <c r="G42" i="11" s="1"/>
  <c r="F30" i="11"/>
  <c r="F42" i="11" s="1"/>
  <c r="E30" i="11"/>
  <c r="E45" i="11" s="1"/>
  <c r="D30" i="11"/>
  <c r="D45" i="11" s="1"/>
  <c r="B30" i="11"/>
  <c r="B45" i="11" s="1"/>
  <c r="L29" i="11"/>
  <c r="L41" i="11" s="1"/>
  <c r="K29" i="11"/>
  <c r="K41" i="11" s="1"/>
  <c r="J29" i="11"/>
  <c r="J41" i="11" s="1"/>
  <c r="I29" i="11"/>
  <c r="I41" i="11" s="1"/>
  <c r="H29" i="11"/>
  <c r="H41" i="11" s="1"/>
  <c r="G29" i="11"/>
  <c r="G41" i="11" s="1"/>
  <c r="F29" i="11"/>
  <c r="F41" i="11" s="1"/>
  <c r="E29" i="11"/>
  <c r="E41" i="11" s="1"/>
  <c r="D29" i="11"/>
  <c r="D41" i="11" s="1"/>
  <c r="C29" i="11"/>
  <c r="C41" i="11" s="1"/>
  <c r="B29" i="11"/>
  <c r="C28" i="11"/>
  <c r="B28" i="11"/>
  <c r="C27" i="11"/>
  <c r="B27" i="11"/>
  <c r="L26" i="11"/>
  <c r="L38" i="11" s="1"/>
  <c r="K26" i="11"/>
  <c r="K38" i="11" s="1"/>
  <c r="J26" i="11"/>
  <c r="J38" i="11" s="1"/>
  <c r="I26" i="11"/>
  <c r="I38" i="11" s="1"/>
  <c r="H26" i="11"/>
  <c r="H38" i="11" s="1"/>
  <c r="G26" i="11"/>
  <c r="G38" i="11" s="1"/>
  <c r="F26" i="11"/>
  <c r="F38" i="11" s="1"/>
  <c r="E26" i="11"/>
  <c r="E38" i="11" s="1"/>
  <c r="D26" i="11"/>
  <c r="D38" i="11" s="1"/>
  <c r="C26" i="11"/>
  <c r="C38" i="11" s="1"/>
  <c r="B26" i="11"/>
  <c r="L25" i="11"/>
  <c r="K25" i="11"/>
  <c r="J25" i="11"/>
  <c r="I25" i="11"/>
  <c r="I44" i="11" s="1"/>
  <c r="H25" i="11"/>
  <c r="G25" i="11"/>
  <c r="F25" i="11"/>
  <c r="F37" i="11" s="1"/>
  <c r="D25" i="11"/>
  <c r="D37" i="11" s="1"/>
  <c r="C25" i="11"/>
  <c r="C37" i="11" s="1"/>
  <c r="B25" i="11"/>
  <c r="B44" i="11" s="1"/>
  <c r="B46" i="11" s="1"/>
  <c r="L17" i="11"/>
  <c r="L28" i="11" s="1"/>
  <c r="K17" i="11"/>
  <c r="K28" i="11" s="1"/>
  <c r="J17" i="11"/>
  <c r="J28" i="11" s="1"/>
  <c r="I17" i="11"/>
  <c r="I28" i="11" s="1"/>
  <c r="H17" i="11"/>
  <c r="H28" i="11" s="1"/>
  <c r="G17" i="11"/>
  <c r="G28" i="11" s="1"/>
  <c r="F17" i="11"/>
  <c r="F28" i="11" s="1"/>
  <c r="E17" i="11"/>
  <c r="E28" i="11" s="1"/>
  <c r="D17" i="11"/>
  <c r="L16" i="11"/>
  <c r="L27" i="11" s="1"/>
  <c r="K16" i="11"/>
  <c r="K27" i="11" s="1"/>
  <c r="J16" i="11"/>
  <c r="J27" i="11" s="1"/>
  <c r="I16" i="11"/>
  <c r="I27" i="11" s="1"/>
  <c r="H16" i="11"/>
  <c r="H27" i="11" s="1"/>
  <c r="G16" i="11"/>
  <c r="G27" i="11" s="1"/>
  <c r="F16" i="11"/>
  <c r="F27" i="11" s="1"/>
  <c r="E16" i="11"/>
  <c r="D16" i="11"/>
  <c r="T27" i="7"/>
  <c r="S27" i="7"/>
  <c r="S39" i="7" s="1"/>
  <c r="R27" i="7"/>
  <c r="R39" i="7" s="1"/>
  <c r="Q27" i="7"/>
  <c r="Q39" i="7" s="1"/>
  <c r="P27" i="7"/>
  <c r="P39" i="7" s="1"/>
  <c r="O27" i="7"/>
  <c r="O39" i="7" s="1"/>
  <c r="N27" i="7"/>
  <c r="N39" i="7" s="1"/>
  <c r="M27" i="7"/>
  <c r="M39" i="7" s="1"/>
  <c r="L27" i="7"/>
  <c r="L39" i="7" s="1"/>
  <c r="K27" i="7"/>
  <c r="K39" i="7" s="1"/>
  <c r="J27" i="7"/>
  <c r="J39" i="7" s="1"/>
  <c r="I27" i="7"/>
  <c r="I39" i="7" s="1"/>
  <c r="H27" i="7"/>
  <c r="H39" i="7" s="1"/>
  <c r="G27" i="7"/>
  <c r="G39" i="7" s="1"/>
  <c r="F27" i="7"/>
  <c r="F39" i="7" s="1"/>
  <c r="E27" i="7"/>
  <c r="E39" i="7" s="1"/>
  <c r="D27" i="7"/>
  <c r="C27" i="7"/>
  <c r="B27" i="7"/>
  <c r="S26" i="7"/>
  <c r="S38" i="7" s="1"/>
  <c r="R26" i="7"/>
  <c r="R38" i="7" s="1"/>
  <c r="Q26" i="7"/>
  <c r="Q38" i="7" s="1"/>
  <c r="P26" i="7"/>
  <c r="P38" i="7" s="1"/>
  <c r="O26" i="7"/>
  <c r="O38" i="7" s="1"/>
  <c r="N26" i="7"/>
  <c r="N38" i="7" s="1"/>
  <c r="M26" i="7"/>
  <c r="M38" i="7" s="1"/>
  <c r="L26" i="7"/>
  <c r="L38" i="7" s="1"/>
  <c r="J26" i="7"/>
  <c r="J38" i="7" s="1"/>
  <c r="I26" i="7"/>
  <c r="I38" i="7" s="1"/>
  <c r="H26" i="7"/>
  <c r="H38" i="7" s="1"/>
  <c r="G26" i="7"/>
  <c r="G38" i="7" s="1"/>
  <c r="F26" i="7"/>
  <c r="F38" i="7" s="1"/>
  <c r="E26" i="7"/>
  <c r="E38" i="7" s="1"/>
  <c r="D26" i="7"/>
  <c r="D38" i="7" s="1"/>
  <c r="C26" i="7"/>
  <c r="C38" i="7" s="1"/>
  <c r="B26" i="7"/>
  <c r="S25" i="7"/>
  <c r="R25" i="7"/>
  <c r="Q25" i="7"/>
  <c r="P25" i="7"/>
  <c r="O25" i="7"/>
  <c r="N25" i="7"/>
  <c r="M25" i="7"/>
  <c r="L25" i="7"/>
  <c r="K25" i="7"/>
  <c r="J25" i="7"/>
  <c r="I25" i="7"/>
  <c r="H25" i="7"/>
  <c r="G25" i="7"/>
  <c r="F25" i="7"/>
  <c r="E25" i="7"/>
  <c r="D25" i="7"/>
  <c r="C25" i="7"/>
  <c r="B25" i="7"/>
  <c r="S24" i="7"/>
  <c r="R24" i="7"/>
  <c r="Q24" i="7"/>
  <c r="P24" i="7"/>
  <c r="O24" i="7"/>
  <c r="N24" i="7"/>
  <c r="M24" i="7"/>
  <c r="L24" i="7"/>
  <c r="K24" i="7"/>
  <c r="J24" i="7"/>
  <c r="I24" i="7"/>
  <c r="H24" i="7"/>
  <c r="G24" i="7"/>
  <c r="F24" i="7"/>
  <c r="E24" i="7"/>
  <c r="D24" i="7"/>
  <c r="C24" i="7"/>
  <c r="B24" i="7"/>
  <c r="S23" i="7"/>
  <c r="S35" i="7" s="1"/>
  <c r="R23" i="7"/>
  <c r="R35" i="7" s="1"/>
  <c r="Q23" i="7"/>
  <c r="Q35" i="7" s="1"/>
  <c r="P23" i="7"/>
  <c r="P35" i="7" s="1"/>
  <c r="O23" i="7"/>
  <c r="O35" i="7" s="1"/>
  <c r="N23" i="7"/>
  <c r="N35" i="7" s="1"/>
  <c r="M23" i="7"/>
  <c r="M35" i="7" s="1"/>
  <c r="L23" i="7"/>
  <c r="L35" i="7" s="1"/>
  <c r="K23" i="7"/>
  <c r="K35" i="7" s="1"/>
  <c r="J23" i="7"/>
  <c r="J35" i="7" s="1"/>
  <c r="I23" i="7"/>
  <c r="I35" i="7" s="1"/>
  <c r="H23" i="7"/>
  <c r="H35" i="7" s="1"/>
  <c r="G23" i="7"/>
  <c r="G35" i="7" s="1"/>
  <c r="F23" i="7"/>
  <c r="F35" i="7" s="1"/>
  <c r="E23" i="7"/>
  <c r="E41" i="7" s="1"/>
  <c r="D23" i="7"/>
  <c r="D35" i="7" s="1"/>
  <c r="C23" i="7"/>
  <c r="C35" i="7" s="1"/>
  <c r="B23" i="7"/>
  <c r="B41" i="7" s="1"/>
  <c r="S22" i="7"/>
  <c r="R22" i="7"/>
  <c r="Q22" i="7"/>
  <c r="P22" i="7"/>
  <c r="O22" i="7"/>
  <c r="N22" i="7"/>
  <c r="M22" i="7"/>
  <c r="L22" i="7"/>
  <c r="K22" i="7"/>
  <c r="J22" i="7"/>
  <c r="I22" i="7"/>
  <c r="H22" i="7"/>
  <c r="G22" i="7"/>
  <c r="F22" i="7"/>
  <c r="D22" i="7"/>
  <c r="C22" i="7"/>
  <c r="L44" i="11" l="1"/>
  <c r="J44" i="11"/>
  <c r="G37" i="11"/>
  <c r="G44" i="11"/>
  <c r="K44" i="11"/>
  <c r="H44" i="11"/>
  <c r="O41" i="7"/>
  <c r="H37" i="11"/>
  <c r="J37" i="11"/>
  <c r="K37" i="11"/>
  <c r="L37" i="11"/>
  <c r="I37" i="11"/>
  <c r="L34" i="7"/>
  <c r="L41" i="7"/>
  <c r="M34" i="7"/>
  <c r="M41" i="7"/>
  <c r="J34" i="7"/>
  <c r="J41" i="7"/>
  <c r="C41" i="7"/>
  <c r="P34" i="7"/>
  <c r="P41" i="7"/>
  <c r="K34" i="7"/>
  <c r="K41" i="7"/>
  <c r="N34" i="7"/>
  <c r="N41" i="7"/>
  <c r="Q34" i="7"/>
  <c r="Q41" i="7"/>
  <c r="R34" i="7"/>
  <c r="R41" i="7"/>
  <c r="D34" i="7"/>
  <c r="D41" i="7"/>
  <c r="F34" i="7"/>
  <c r="F41" i="7"/>
  <c r="G34" i="7"/>
  <c r="G41" i="7"/>
  <c r="S34" i="7"/>
  <c r="S41" i="7"/>
  <c r="B42" i="7"/>
  <c r="B43" i="7" s="1"/>
  <c r="H34" i="7"/>
  <c r="H41" i="7"/>
  <c r="C39" i="7"/>
  <c r="C42" i="7"/>
  <c r="I34" i="7"/>
  <c r="I41" i="7"/>
  <c r="D39" i="7"/>
  <c r="D42" i="7"/>
  <c r="U26" i="7"/>
  <c r="U23" i="7"/>
  <c r="C34" i="7"/>
  <c r="U22" i="7"/>
  <c r="U27" i="7"/>
  <c r="B38" i="11"/>
  <c r="N26" i="11"/>
  <c r="B37" i="11"/>
  <c r="N25" i="11"/>
  <c r="B42" i="11"/>
  <c r="N30" i="11"/>
  <c r="D42" i="11"/>
  <c r="B41" i="11"/>
  <c r="N29" i="11"/>
  <c r="E42" i="11"/>
  <c r="D42" i="30"/>
  <c r="D43" i="30"/>
  <c r="D47" i="30"/>
  <c r="D44" i="30"/>
  <c r="D15" i="30" s="1"/>
  <c r="D45" i="30"/>
  <c r="D46" i="30"/>
  <c r="C40" i="30"/>
  <c r="E40" i="30" s="1"/>
  <c r="E11" i="30" s="1"/>
  <c r="E35" i="7"/>
  <c r="C50" i="30"/>
  <c r="E50" i="30" s="1"/>
  <c r="E21" i="30" s="1"/>
  <c r="O34" i="7"/>
  <c r="B39" i="7"/>
  <c r="B35" i="7"/>
  <c r="B38" i="7"/>
  <c r="C49" i="30"/>
  <c r="E49" i="30" s="1"/>
  <c r="E20" i="30" s="1"/>
  <c r="C41" i="30"/>
  <c r="E41" i="30" s="1"/>
  <c r="E12" i="30" s="1"/>
  <c r="C53" i="30"/>
  <c r="E53" i="30" s="1"/>
  <c r="E24" i="30" s="1"/>
  <c r="C37" i="30"/>
  <c r="C8" i="30" s="1"/>
  <c r="C48" i="30"/>
  <c r="E48" i="30" s="1"/>
  <c r="E19" i="30" s="1"/>
  <c r="C42" i="30"/>
  <c r="C13" i="30" s="1"/>
  <c r="C44" i="30"/>
  <c r="C15" i="30" s="1"/>
  <c r="C52" i="30"/>
  <c r="E52" i="30" s="1"/>
  <c r="E23" i="30" s="1"/>
  <c r="C43" i="30"/>
  <c r="C14" i="30" s="1"/>
  <c r="C51" i="30"/>
  <c r="C45" i="30"/>
  <c r="C16" i="30" s="1"/>
  <c r="C54" i="30"/>
  <c r="C38" i="30"/>
  <c r="C9" i="30" s="1"/>
  <c r="C47" i="30"/>
  <c r="C18" i="30" s="1"/>
  <c r="C46" i="30"/>
  <c r="C17" i="30" s="1"/>
  <c r="C39" i="30"/>
  <c r="D38" i="30"/>
  <c r="D9" i="30" s="1"/>
  <c r="M30" i="11"/>
  <c r="M26" i="11"/>
  <c r="M29" i="11"/>
  <c r="M25" i="11"/>
  <c r="D27" i="11"/>
  <c r="M16" i="11"/>
  <c r="D28" i="11"/>
  <c r="M28" i="11" s="1"/>
  <c r="M17" i="11"/>
  <c r="E27" i="11"/>
  <c r="C43" i="7" l="1"/>
  <c r="U41" i="7"/>
  <c r="C27" i="42"/>
  <c r="C19" i="42"/>
  <c r="C26" i="42"/>
  <c r="C18" i="42"/>
  <c r="E18" i="42" s="1"/>
  <c r="P15" i="42" s="1"/>
  <c r="C28" i="42"/>
  <c r="C24" i="42"/>
  <c r="C25" i="42"/>
  <c r="D25" i="42"/>
  <c r="C23" i="42"/>
  <c r="D19" i="42"/>
  <c r="F8" i="30"/>
  <c r="N27" i="11"/>
  <c r="D43" i="7"/>
  <c r="C11" i="30"/>
  <c r="C21" i="30"/>
  <c r="C20" i="30"/>
  <c r="C12" i="30"/>
  <c r="C24" i="30"/>
  <c r="E37" i="30"/>
  <c r="E44" i="30"/>
  <c r="E15" i="30" s="1"/>
  <c r="C19" i="30"/>
  <c r="C23" i="30"/>
  <c r="E39" i="30"/>
  <c r="E10" i="30" s="1"/>
  <c r="C10" i="30"/>
  <c r="E54" i="30"/>
  <c r="E25" i="30" s="1"/>
  <c r="C25" i="30"/>
  <c r="E51" i="30"/>
  <c r="E22" i="30" s="1"/>
  <c r="C22" i="30"/>
  <c r="E38" i="30"/>
  <c r="D18" i="30"/>
  <c r="E47" i="30"/>
  <c r="D16" i="30"/>
  <c r="E45" i="30"/>
  <c r="E16" i="30" s="1"/>
  <c r="D17" i="30"/>
  <c r="E46" i="30"/>
  <c r="D13" i="30"/>
  <c r="E42" i="30"/>
  <c r="D14" i="30"/>
  <c r="E43" i="30"/>
  <c r="M27" i="11"/>
  <c r="D24" i="42" l="1"/>
  <c r="F11" i="30"/>
  <c r="C21" i="42"/>
  <c r="E21" i="42" s="1"/>
  <c r="D23" i="42"/>
  <c r="D26" i="42"/>
  <c r="E26" i="42" s="1"/>
  <c r="C29" i="42"/>
  <c r="E29" i="42" s="1"/>
  <c r="D28" i="42"/>
  <c r="C35" i="42"/>
  <c r="E35" i="42" s="1"/>
  <c r="E9" i="30"/>
  <c r="F12" i="30"/>
  <c r="C22" i="42"/>
  <c r="E22" i="42" s="1"/>
  <c r="D27" i="42"/>
  <c r="C33" i="42"/>
  <c r="E33" i="42" s="1"/>
  <c r="F24" i="30"/>
  <c r="C34" i="42"/>
  <c r="E34" i="42" s="1"/>
  <c r="C32" i="42"/>
  <c r="E32" i="42" s="1"/>
  <c r="F20" i="30"/>
  <c r="C30" i="42"/>
  <c r="E30" i="42" s="1"/>
  <c r="C20" i="42"/>
  <c r="E20" i="42" s="1"/>
  <c r="E25" i="42"/>
  <c r="F21" i="30"/>
  <c r="C31" i="42"/>
  <c r="E31" i="42" s="1"/>
  <c r="C26" i="30"/>
  <c r="D26" i="30"/>
  <c r="F22" i="30"/>
  <c r="F19" i="30"/>
  <c r="F23" i="30"/>
  <c r="F15" i="30"/>
  <c r="F25" i="30"/>
  <c r="F16" i="30"/>
  <c r="E14" i="30"/>
  <c r="E13" i="30"/>
  <c r="E18" i="30"/>
  <c r="E17" i="30"/>
  <c r="F10" i="30"/>
  <c r="D36" i="42" l="1"/>
  <c r="E28" i="42"/>
  <c r="E23" i="42"/>
  <c r="F9" i="30"/>
  <c r="E27" i="42"/>
  <c r="P28" i="42" s="1"/>
  <c r="E19" i="42"/>
  <c r="E24" i="42"/>
  <c r="C36" i="42"/>
  <c r="F13" i="31"/>
  <c r="F28" i="31"/>
  <c r="F46" i="31"/>
  <c r="F61" i="31"/>
  <c r="F76" i="31"/>
  <c r="F88" i="31"/>
  <c r="F100" i="31"/>
  <c r="F112" i="31"/>
  <c r="F124" i="31"/>
  <c r="F136" i="31"/>
  <c r="F111" i="31"/>
  <c r="F33" i="31"/>
  <c r="F14" i="31"/>
  <c r="F29" i="31"/>
  <c r="F47" i="31"/>
  <c r="F62" i="31"/>
  <c r="F77" i="31"/>
  <c r="F89" i="31"/>
  <c r="F101" i="31"/>
  <c r="F113" i="31"/>
  <c r="F125" i="31"/>
  <c r="F137" i="31"/>
  <c r="F7" i="31"/>
  <c r="F32" i="31"/>
  <c r="F15" i="31"/>
  <c r="F30" i="31"/>
  <c r="F48" i="31"/>
  <c r="F63" i="31"/>
  <c r="F78" i="31"/>
  <c r="F90" i="31"/>
  <c r="F102" i="31"/>
  <c r="F114" i="31"/>
  <c r="F126" i="31"/>
  <c r="F138" i="31"/>
  <c r="F135" i="31"/>
  <c r="F9" i="31"/>
  <c r="F16" i="31"/>
  <c r="F34" i="31"/>
  <c r="F49" i="31"/>
  <c r="F64" i="31"/>
  <c r="F79" i="31"/>
  <c r="F91" i="31"/>
  <c r="F103" i="31"/>
  <c r="F115" i="31"/>
  <c r="F127" i="31"/>
  <c r="F139" i="31"/>
  <c r="F69" i="31"/>
  <c r="F21" i="31"/>
  <c r="F17" i="31"/>
  <c r="F35" i="31"/>
  <c r="F50" i="31"/>
  <c r="F65" i="31"/>
  <c r="F80" i="31"/>
  <c r="F92" i="31"/>
  <c r="F104" i="31"/>
  <c r="F116" i="31"/>
  <c r="F128" i="31"/>
  <c r="F68" i="31"/>
  <c r="F18" i="31"/>
  <c r="F36" i="31"/>
  <c r="F51" i="31"/>
  <c r="F66" i="31"/>
  <c r="F81" i="31"/>
  <c r="F93" i="31"/>
  <c r="F105" i="31"/>
  <c r="F117" i="31"/>
  <c r="F129" i="31"/>
  <c r="F44" i="31"/>
  <c r="F67" i="31"/>
  <c r="F22" i="31"/>
  <c r="F37" i="31"/>
  <c r="F52" i="31"/>
  <c r="F70" i="31"/>
  <c r="F82" i="31"/>
  <c r="F94" i="31"/>
  <c r="F106" i="31"/>
  <c r="F118" i="31"/>
  <c r="F130" i="31"/>
  <c r="F57" i="31"/>
  <c r="F23" i="31"/>
  <c r="F38" i="31"/>
  <c r="F53" i="31"/>
  <c r="F71" i="31"/>
  <c r="F83" i="31"/>
  <c r="F95" i="31"/>
  <c r="F107" i="31"/>
  <c r="F119" i="31"/>
  <c r="F131" i="31"/>
  <c r="F99" i="31"/>
  <c r="F56" i="31"/>
  <c r="F8" i="31"/>
  <c r="F24" i="31"/>
  <c r="F39" i="31"/>
  <c r="F54" i="31"/>
  <c r="F72" i="31"/>
  <c r="F84" i="31"/>
  <c r="F96" i="31"/>
  <c r="F108" i="31"/>
  <c r="F120" i="31"/>
  <c r="F132" i="31"/>
  <c r="F55" i="31"/>
  <c r="F10" i="31"/>
  <c r="F25" i="31"/>
  <c r="F40" i="31"/>
  <c r="F58" i="31"/>
  <c r="F73" i="31"/>
  <c r="F85" i="31"/>
  <c r="F97" i="31"/>
  <c r="F109" i="31"/>
  <c r="F121" i="31"/>
  <c r="F133" i="31"/>
  <c r="F45" i="31"/>
  <c r="F11" i="31"/>
  <c r="F26" i="31"/>
  <c r="F41" i="31"/>
  <c r="F59" i="31"/>
  <c r="F74" i="31"/>
  <c r="F86" i="31"/>
  <c r="F98" i="31"/>
  <c r="F110" i="31"/>
  <c r="F122" i="31"/>
  <c r="F134" i="31"/>
  <c r="F12" i="31"/>
  <c r="F27" i="31"/>
  <c r="F42" i="31"/>
  <c r="F60" i="31"/>
  <c r="F75" i="31"/>
  <c r="F87" i="31"/>
  <c r="F123" i="31"/>
  <c r="F31" i="31"/>
  <c r="F43" i="31"/>
  <c r="F20" i="31"/>
  <c r="F19" i="31"/>
  <c r="I19" i="31"/>
  <c r="I31" i="31"/>
  <c r="I43" i="31"/>
  <c r="I55" i="31"/>
  <c r="I67" i="31"/>
  <c r="I79" i="31"/>
  <c r="I91" i="31"/>
  <c r="I103" i="31"/>
  <c r="I115" i="31"/>
  <c r="I127" i="31"/>
  <c r="I139" i="31"/>
  <c r="I114" i="31"/>
  <c r="I8" i="31"/>
  <c r="I20" i="31"/>
  <c r="I32" i="31"/>
  <c r="I44" i="31"/>
  <c r="I56" i="31"/>
  <c r="I68" i="31"/>
  <c r="I80" i="31"/>
  <c r="I92" i="31"/>
  <c r="I104" i="31"/>
  <c r="I116" i="31"/>
  <c r="I128" i="31"/>
  <c r="I7" i="31"/>
  <c r="I66" i="31"/>
  <c r="I9" i="31"/>
  <c r="I21" i="31"/>
  <c r="I33" i="31"/>
  <c r="I45" i="31"/>
  <c r="I57" i="31"/>
  <c r="I69" i="31"/>
  <c r="I81" i="31"/>
  <c r="I93" i="31"/>
  <c r="I105" i="31"/>
  <c r="I117" i="31"/>
  <c r="I129" i="31"/>
  <c r="I90" i="31"/>
  <c r="I10" i="31"/>
  <c r="I22" i="31"/>
  <c r="I34" i="31"/>
  <c r="I46" i="31"/>
  <c r="I58" i="31"/>
  <c r="I70" i="31"/>
  <c r="I82" i="31"/>
  <c r="I94" i="31"/>
  <c r="I106" i="31"/>
  <c r="I118" i="31"/>
  <c r="I130" i="31"/>
  <c r="I126" i="31"/>
  <c r="I11" i="31"/>
  <c r="I23" i="31"/>
  <c r="I35" i="31"/>
  <c r="I47" i="31"/>
  <c r="I59" i="31"/>
  <c r="I71" i="31"/>
  <c r="I83" i="31"/>
  <c r="I95" i="31"/>
  <c r="I107" i="31"/>
  <c r="I119" i="31"/>
  <c r="I131" i="31"/>
  <c r="I102" i="31"/>
  <c r="I12" i="31"/>
  <c r="I24" i="31"/>
  <c r="I36" i="31"/>
  <c r="I48" i="31"/>
  <c r="I60" i="31"/>
  <c r="I72" i="31"/>
  <c r="I84" i="31"/>
  <c r="I96" i="31"/>
  <c r="I108" i="31"/>
  <c r="I120" i="31"/>
  <c r="I132" i="31"/>
  <c r="I13" i="31"/>
  <c r="I25" i="31"/>
  <c r="I37" i="31"/>
  <c r="I49" i="31"/>
  <c r="I61" i="31"/>
  <c r="I73" i="31"/>
  <c r="I85" i="31"/>
  <c r="I97" i="31"/>
  <c r="I109" i="31"/>
  <c r="I121" i="31"/>
  <c r="I133" i="31"/>
  <c r="I42" i="31"/>
  <c r="I14" i="31"/>
  <c r="I26" i="31"/>
  <c r="I38" i="31"/>
  <c r="I50" i="31"/>
  <c r="I62" i="31"/>
  <c r="I74" i="31"/>
  <c r="I86" i="31"/>
  <c r="I98" i="31"/>
  <c r="I110" i="31"/>
  <c r="I122" i="31"/>
  <c r="I134" i="31"/>
  <c r="I78" i="31"/>
  <c r="I15" i="31"/>
  <c r="I27" i="31"/>
  <c r="I39" i="31"/>
  <c r="I51" i="31"/>
  <c r="I63" i="31"/>
  <c r="I75" i="31"/>
  <c r="I87" i="31"/>
  <c r="I99" i="31"/>
  <c r="I111" i="31"/>
  <c r="I123" i="31"/>
  <c r="I135" i="31"/>
  <c r="I54" i="31"/>
  <c r="I16" i="31"/>
  <c r="I28" i="31"/>
  <c r="I40" i="31"/>
  <c r="I52" i="31"/>
  <c r="I64" i="31"/>
  <c r="I76" i="31"/>
  <c r="I88" i="31"/>
  <c r="I100" i="31"/>
  <c r="I112" i="31"/>
  <c r="I124" i="31"/>
  <c r="I136" i="31"/>
  <c r="I30" i="31"/>
  <c r="I17" i="31"/>
  <c r="I29" i="31"/>
  <c r="I41" i="31"/>
  <c r="I53" i="31"/>
  <c r="I65" i="31"/>
  <c r="I77" i="31"/>
  <c r="I89" i="31"/>
  <c r="I101" i="31"/>
  <c r="I113" i="31"/>
  <c r="I125" i="31"/>
  <c r="I137" i="31"/>
  <c r="I18" i="31"/>
  <c r="I138" i="31"/>
  <c r="H63" i="31"/>
  <c r="H78" i="31"/>
  <c r="H16" i="31"/>
  <c r="H17" i="31"/>
  <c r="H137" i="31"/>
  <c r="H138" i="31"/>
  <c r="H18" i="31"/>
  <c r="H30" i="31"/>
  <c r="H42" i="31"/>
  <c r="H54" i="31"/>
  <c r="H102" i="31"/>
  <c r="H19" i="31"/>
  <c r="H31" i="31"/>
  <c r="H43" i="31"/>
  <c r="H55" i="31"/>
  <c r="H67" i="31"/>
  <c r="H79" i="31"/>
  <c r="H91" i="31"/>
  <c r="H103" i="31"/>
  <c r="H115" i="31"/>
  <c r="J115" i="31" s="1"/>
  <c r="H127" i="31"/>
  <c r="H139" i="31"/>
  <c r="H98" i="31"/>
  <c r="H39" i="31"/>
  <c r="H112" i="31"/>
  <c r="H52" i="31"/>
  <c r="H124" i="31"/>
  <c r="H41" i="31"/>
  <c r="H65" i="31"/>
  <c r="H89" i="31"/>
  <c r="H125" i="31"/>
  <c r="H66" i="31"/>
  <c r="H126" i="31"/>
  <c r="H8" i="31"/>
  <c r="H20" i="31"/>
  <c r="H32" i="31"/>
  <c r="H45" i="31"/>
  <c r="H56" i="31"/>
  <c r="H68" i="31"/>
  <c r="H80" i="31"/>
  <c r="H92" i="31"/>
  <c r="H104" i="31"/>
  <c r="H116" i="31"/>
  <c r="H128" i="31"/>
  <c r="H7" i="31"/>
  <c r="H9" i="31"/>
  <c r="H21" i="31"/>
  <c r="J21" i="31" s="1"/>
  <c r="H33" i="31"/>
  <c r="H44" i="31"/>
  <c r="H57" i="31"/>
  <c r="H69" i="31"/>
  <c r="H81" i="31"/>
  <c r="H93" i="31"/>
  <c r="H105" i="31"/>
  <c r="H117" i="31"/>
  <c r="H129" i="31"/>
  <c r="H109" i="31"/>
  <c r="H86" i="31"/>
  <c r="H15" i="31"/>
  <c r="H87" i="31"/>
  <c r="H28" i="31"/>
  <c r="H100" i="31"/>
  <c r="H101" i="31"/>
  <c r="H113" i="31"/>
  <c r="H10" i="31"/>
  <c r="H22" i="31"/>
  <c r="H34" i="31"/>
  <c r="H46" i="31"/>
  <c r="J46" i="31" s="1"/>
  <c r="H58" i="31"/>
  <c r="H70" i="31"/>
  <c r="H82" i="31"/>
  <c r="H94" i="31"/>
  <c r="H106" i="31"/>
  <c r="H118" i="31"/>
  <c r="H130" i="31"/>
  <c r="H120" i="31"/>
  <c r="H25" i="31"/>
  <c r="H37" i="31"/>
  <c r="H61" i="31"/>
  <c r="H97" i="31"/>
  <c r="H133" i="31"/>
  <c r="H26" i="31"/>
  <c r="H51" i="31"/>
  <c r="H74" i="31"/>
  <c r="H122" i="31"/>
  <c r="H50" i="31"/>
  <c r="H75" i="31"/>
  <c r="H123" i="31"/>
  <c r="H40" i="31"/>
  <c r="H76" i="31"/>
  <c r="H111" i="31"/>
  <c r="H90" i="31"/>
  <c r="H11" i="31"/>
  <c r="H23" i="31"/>
  <c r="H35" i="31"/>
  <c r="H47" i="31"/>
  <c r="H59" i="31"/>
  <c r="H72" i="31"/>
  <c r="H83" i="31"/>
  <c r="H95" i="31"/>
  <c r="H107" i="31"/>
  <c r="H119" i="31"/>
  <c r="H131" i="31"/>
  <c r="H12" i="31"/>
  <c r="H24" i="31"/>
  <c r="H36" i="31"/>
  <c r="H48" i="31"/>
  <c r="H60" i="31"/>
  <c r="H73" i="31"/>
  <c r="H84" i="31"/>
  <c r="H96" i="31"/>
  <c r="H108" i="31"/>
  <c r="H132" i="31"/>
  <c r="H13" i="31"/>
  <c r="H49" i="31"/>
  <c r="H71" i="31"/>
  <c r="H85" i="31"/>
  <c r="J85" i="31" s="1"/>
  <c r="H121" i="31"/>
  <c r="H14" i="31"/>
  <c r="H38" i="31"/>
  <c r="H62" i="31"/>
  <c r="H110" i="31"/>
  <c r="H134" i="31"/>
  <c r="H27" i="31"/>
  <c r="H99" i="31"/>
  <c r="H135" i="31"/>
  <c r="H64" i="31"/>
  <c r="H88" i="31"/>
  <c r="H136" i="31"/>
  <c r="H29" i="31"/>
  <c r="H53" i="31"/>
  <c r="H77" i="31"/>
  <c r="H114" i="31"/>
  <c r="F17" i="30"/>
  <c r="E139" i="31"/>
  <c r="E33" i="31"/>
  <c r="E14" i="31"/>
  <c r="E26" i="31"/>
  <c r="G26" i="31" s="1"/>
  <c r="E38" i="31"/>
  <c r="E51" i="31"/>
  <c r="E62" i="31"/>
  <c r="E74" i="31"/>
  <c r="E86" i="31"/>
  <c r="E98" i="31"/>
  <c r="E110" i="31"/>
  <c r="E122" i="31"/>
  <c r="E134" i="31"/>
  <c r="E50" i="31"/>
  <c r="E112" i="31"/>
  <c r="G112" i="31" s="1"/>
  <c r="E88" i="31"/>
  <c r="G88" i="31" s="1"/>
  <c r="E31" i="31"/>
  <c r="E67" i="31"/>
  <c r="E44" i="31"/>
  <c r="G44" i="31" s="1"/>
  <c r="E105" i="31"/>
  <c r="E15" i="31"/>
  <c r="E27" i="31"/>
  <c r="E39" i="31"/>
  <c r="E63" i="31"/>
  <c r="E75" i="31"/>
  <c r="E87" i="31"/>
  <c r="E99" i="31"/>
  <c r="E123" i="31"/>
  <c r="E135" i="31"/>
  <c r="E16" i="31"/>
  <c r="E28" i="31"/>
  <c r="E40" i="31"/>
  <c r="E52" i="31"/>
  <c r="E64" i="31"/>
  <c r="G64" i="31" s="1"/>
  <c r="E76" i="31"/>
  <c r="E100" i="31"/>
  <c r="E111" i="31"/>
  <c r="E124" i="31"/>
  <c r="E136" i="31"/>
  <c r="E43" i="31"/>
  <c r="E115" i="31"/>
  <c r="E129" i="31"/>
  <c r="E17" i="31"/>
  <c r="E29" i="31"/>
  <c r="E41" i="31"/>
  <c r="E53" i="31"/>
  <c r="E65" i="31"/>
  <c r="E77" i="31"/>
  <c r="E89" i="31"/>
  <c r="E101" i="31"/>
  <c r="E114" i="31"/>
  <c r="G114" i="31" s="1"/>
  <c r="E125" i="31"/>
  <c r="E137" i="31"/>
  <c r="E18" i="31"/>
  <c r="E30" i="31"/>
  <c r="E42" i="31"/>
  <c r="E54" i="31"/>
  <c r="E66" i="31"/>
  <c r="G66" i="31" s="1"/>
  <c r="E78" i="31"/>
  <c r="E90" i="31"/>
  <c r="E102" i="31"/>
  <c r="E113" i="31"/>
  <c r="G113" i="31" s="1"/>
  <c r="E126" i="31"/>
  <c r="E138" i="31"/>
  <c r="E20" i="31"/>
  <c r="E32" i="31"/>
  <c r="E45" i="31"/>
  <c r="E56" i="31"/>
  <c r="G56" i="31" s="1"/>
  <c r="E68" i="31"/>
  <c r="E80" i="31"/>
  <c r="E92" i="31"/>
  <c r="G92" i="31" s="1"/>
  <c r="E104" i="31"/>
  <c r="E116" i="31"/>
  <c r="E128" i="31"/>
  <c r="E9" i="31"/>
  <c r="E81" i="31"/>
  <c r="E10" i="31"/>
  <c r="G10" i="31" s="1"/>
  <c r="E22" i="31"/>
  <c r="E34" i="31"/>
  <c r="E46" i="31"/>
  <c r="G46" i="31" s="1"/>
  <c r="E58" i="31"/>
  <c r="E70" i="31"/>
  <c r="E82" i="31"/>
  <c r="E94" i="31"/>
  <c r="E106" i="31"/>
  <c r="E118" i="31"/>
  <c r="E130" i="31"/>
  <c r="G130" i="31" s="1"/>
  <c r="E7" i="31"/>
  <c r="E36" i="31"/>
  <c r="E84" i="31"/>
  <c r="E132" i="31"/>
  <c r="E25" i="31"/>
  <c r="E71" i="31"/>
  <c r="E121" i="31"/>
  <c r="G121" i="31" s="1"/>
  <c r="E19" i="31"/>
  <c r="E55" i="31"/>
  <c r="E91" i="31"/>
  <c r="E103" i="31"/>
  <c r="E57" i="31"/>
  <c r="G57" i="31" s="1"/>
  <c r="E117" i="31"/>
  <c r="G117" i="31" s="1"/>
  <c r="E11" i="31"/>
  <c r="G11" i="31" s="1"/>
  <c r="E23" i="31"/>
  <c r="G23" i="31" s="1"/>
  <c r="E35" i="31"/>
  <c r="E47" i="31"/>
  <c r="G47" i="31" s="1"/>
  <c r="E59" i="31"/>
  <c r="E72" i="31"/>
  <c r="E83" i="31"/>
  <c r="E95" i="31"/>
  <c r="E107" i="31"/>
  <c r="E119" i="31"/>
  <c r="E131" i="31"/>
  <c r="E24" i="31"/>
  <c r="G24" i="31" s="1"/>
  <c r="E48" i="31"/>
  <c r="G48" i="31" s="1"/>
  <c r="E73" i="31"/>
  <c r="E108" i="31"/>
  <c r="E120" i="31"/>
  <c r="G120" i="31" s="1"/>
  <c r="E13" i="31"/>
  <c r="E37" i="31"/>
  <c r="E61" i="31"/>
  <c r="G61" i="31" s="1"/>
  <c r="E85" i="31"/>
  <c r="E109" i="31"/>
  <c r="E12" i="31"/>
  <c r="E60" i="31"/>
  <c r="G60" i="31" s="1"/>
  <c r="E96" i="31"/>
  <c r="E49" i="31"/>
  <c r="G49" i="31" s="1"/>
  <c r="E97" i="31"/>
  <c r="E133" i="31"/>
  <c r="G133" i="31" s="1"/>
  <c r="E79" i="31"/>
  <c r="E127" i="31"/>
  <c r="E21" i="31"/>
  <c r="E69" i="31"/>
  <c r="E93" i="31"/>
  <c r="E8" i="31"/>
  <c r="F13" i="30"/>
  <c r="F18" i="30"/>
  <c r="F14" i="30"/>
  <c r="E26" i="30"/>
  <c r="G81" i="31" l="1"/>
  <c r="G131" i="31"/>
  <c r="G136" i="31"/>
  <c r="G99" i="31"/>
  <c r="G118" i="31"/>
  <c r="J52" i="31"/>
  <c r="G65" i="31"/>
  <c r="J50" i="31"/>
  <c r="G27" i="31"/>
  <c r="J36" i="31"/>
  <c r="J111" i="31"/>
  <c r="G115" i="31"/>
  <c r="G103" i="31"/>
  <c r="G116" i="31"/>
  <c r="J88" i="31"/>
  <c r="J71" i="31"/>
  <c r="G87" i="31"/>
  <c r="G59" i="31"/>
  <c r="G40" i="31"/>
  <c r="J70" i="31"/>
  <c r="J86" i="31"/>
  <c r="G67" i="31"/>
  <c r="E36" i="42"/>
  <c r="G125" i="31"/>
  <c r="G123" i="31"/>
  <c r="G126" i="31"/>
  <c r="J136" i="31"/>
  <c r="J133" i="31"/>
  <c r="J102" i="31"/>
  <c r="G29" i="31"/>
  <c r="J15" i="31"/>
  <c r="G108" i="31"/>
  <c r="G35" i="31"/>
  <c r="G14" i="31"/>
  <c r="J14" i="31"/>
  <c r="G96" i="31"/>
  <c r="G34" i="31"/>
  <c r="G82" i="31"/>
  <c r="G39" i="31"/>
  <c r="G127" i="31"/>
  <c r="G74" i="31"/>
  <c r="J87" i="31"/>
  <c r="G38" i="31"/>
  <c r="G107" i="31"/>
  <c r="G106" i="31"/>
  <c r="G134" i="31"/>
  <c r="G90" i="31"/>
  <c r="G13" i="31"/>
  <c r="G132" i="31"/>
  <c r="G45" i="31"/>
  <c r="G30" i="31"/>
  <c r="G28" i="31"/>
  <c r="G62" i="31"/>
  <c r="G12" i="31"/>
  <c r="G119" i="31"/>
  <c r="G128" i="31"/>
  <c r="G124" i="31"/>
  <c r="G50" i="31"/>
  <c r="G93" i="31"/>
  <c r="G94" i="31"/>
  <c r="G104" i="31"/>
  <c r="G63" i="31"/>
  <c r="G58" i="31"/>
  <c r="G95" i="31"/>
  <c r="G55" i="31"/>
  <c r="G77" i="31"/>
  <c r="G19" i="31"/>
  <c r="G78" i="31"/>
  <c r="G76" i="31"/>
  <c r="G70" i="31"/>
  <c r="G80" i="31"/>
  <c r="G79" i="31"/>
  <c r="G42" i="31"/>
  <c r="G105" i="31"/>
  <c r="J114" i="31"/>
  <c r="J33" i="31"/>
  <c r="G16" i="31"/>
  <c r="G51" i="31"/>
  <c r="G109" i="31"/>
  <c r="G91" i="31"/>
  <c r="G102" i="31"/>
  <c r="G89" i="31"/>
  <c r="G122" i="31"/>
  <c r="G15" i="31"/>
  <c r="G17" i="31"/>
  <c r="J38" i="31"/>
  <c r="J60" i="31"/>
  <c r="J32" i="31"/>
  <c r="J39" i="31"/>
  <c r="G111" i="31"/>
  <c r="G139" i="31"/>
  <c r="G53" i="31"/>
  <c r="G69" i="31"/>
  <c r="G71" i="31"/>
  <c r="G68" i="31"/>
  <c r="G54" i="31"/>
  <c r="G86" i="31"/>
  <c r="J57" i="31"/>
  <c r="J77" i="31"/>
  <c r="J74" i="31"/>
  <c r="G73" i="31"/>
  <c r="G22" i="31"/>
  <c r="G137" i="31"/>
  <c r="G31" i="31"/>
  <c r="G7" i="31"/>
  <c r="G138" i="31"/>
  <c r="G43" i="31"/>
  <c r="J58" i="31"/>
  <c r="J8" i="31"/>
  <c r="J24" i="31"/>
  <c r="J126" i="31"/>
  <c r="J42" i="31"/>
  <c r="J12" i="31"/>
  <c r="J90" i="31"/>
  <c r="J97" i="31"/>
  <c r="J129" i="31"/>
  <c r="J66" i="31"/>
  <c r="J30" i="31"/>
  <c r="J64" i="31"/>
  <c r="J61" i="31"/>
  <c r="J26" i="31"/>
  <c r="J40" i="31"/>
  <c r="J23" i="31"/>
  <c r="J83" i="31"/>
  <c r="J101" i="31"/>
  <c r="J54" i="31"/>
  <c r="J29" i="31"/>
  <c r="J9" i="31"/>
  <c r="J11" i="31"/>
  <c r="J7" i="31"/>
  <c r="J13" i="31"/>
  <c r="J37" i="31"/>
  <c r="J22" i="31"/>
  <c r="J89" i="31"/>
  <c r="J91" i="31"/>
  <c r="J27" i="31"/>
  <c r="J80" i="31"/>
  <c r="J41" i="31"/>
  <c r="J96" i="31"/>
  <c r="J69" i="31"/>
  <c r="J72" i="31"/>
  <c r="J43" i="31"/>
  <c r="J78" i="31"/>
  <c r="J104" i="31"/>
  <c r="J99" i="31"/>
  <c r="J93" i="31"/>
  <c r="J92" i="31"/>
  <c r="J95" i="31"/>
  <c r="J113" i="31"/>
  <c r="J81" i="31"/>
  <c r="J110" i="31"/>
  <c r="J84" i="31"/>
  <c r="J100" i="31"/>
  <c r="J56" i="31"/>
  <c r="J62" i="31"/>
  <c r="J112" i="31"/>
  <c r="J47" i="31"/>
  <c r="J94" i="31"/>
  <c r="J48" i="31"/>
  <c r="J82" i="31"/>
  <c r="J98" i="31"/>
  <c r="J109" i="31"/>
  <c r="J127" i="31"/>
  <c r="J103" i="31"/>
  <c r="J65" i="31"/>
  <c r="J67" i="31"/>
  <c r="J17" i="31"/>
  <c r="J45" i="31"/>
  <c r="J63" i="31"/>
  <c r="J19" i="31"/>
  <c r="G101" i="31"/>
  <c r="G75" i="31"/>
  <c r="G8" i="31"/>
  <c r="G100" i="31"/>
  <c r="G41" i="31"/>
  <c r="G25" i="31"/>
  <c r="G129" i="31"/>
  <c r="J128" i="31"/>
  <c r="F141" i="31"/>
  <c r="G33" i="31"/>
  <c r="J49" i="31"/>
  <c r="J131" i="31"/>
  <c r="J34" i="31"/>
  <c r="J117" i="31"/>
  <c r="J116" i="31"/>
  <c r="J125" i="31"/>
  <c r="J18" i="31"/>
  <c r="J135" i="31"/>
  <c r="J119" i="31"/>
  <c r="J76" i="31"/>
  <c r="J105" i="31"/>
  <c r="J138" i="31"/>
  <c r="G85" i="31"/>
  <c r="J132" i="31"/>
  <c r="J107" i="31"/>
  <c r="J25" i="31"/>
  <c r="J10" i="31"/>
  <c r="J79" i="31"/>
  <c r="J137" i="31"/>
  <c r="G83" i="31"/>
  <c r="J108" i="31"/>
  <c r="J123" i="31"/>
  <c r="J120" i="31"/>
  <c r="G110" i="31"/>
  <c r="G21" i="31"/>
  <c r="G37" i="31"/>
  <c r="G72" i="31"/>
  <c r="G98" i="31"/>
  <c r="J134" i="31"/>
  <c r="J75" i="31"/>
  <c r="J130" i="31"/>
  <c r="J68" i="31"/>
  <c r="J124" i="31"/>
  <c r="J55" i="31"/>
  <c r="J16" i="31"/>
  <c r="G52" i="31"/>
  <c r="J118" i="31"/>
  <c r="J73" i="31"/>
  <c r="J59" i="31"/>
  <c r="J122" i="31"/>
  <c r="J106" i="31"/>
  <c r="J28" i="31"/>
  <c r="J44" i="31"/>
  <c r="J31" i="31"/>
  <c r="G9" i="31"/>
  <c r="G97" i="31"/>
  <c r="G84" i="31"/>
  <c r="G32" i="31"/>
  <c r="G18" i="31"/>
  <c r="J53" i="31"/>
  <c r="J35" i="31"/>
  <c r="J51" i="31"/>
  <c r="J20" i="31"/>
  <c r="G36" i="31"/>
  <c r="G20" i="31"/>
  <c r="G135" i="31"/>
  <c r="J121" i="31"/>
  <c r="J139" i="31"/>
  <c r="I141" i="31"/>
  <c r="H141" i="31"/>
  <c r="E141" i="31"/>
  <c r="F26" i="30"/>
  <c r="K23" i="31"/>
  <c r="K16" i="31"/>
  <c r="K28" i="31"/>
  <c r="K40" i="31"/>
  <c r="K52" i="31"/>
  <c r="K64" i="31"/>
  <c r="K76" i="31"/>
  <c r="K88" i="31"/>
  <c r="K100" i="31"/>
  <c r="K111" i="31"/>
  <c r="K124" i="31"/>
  <c r="K136" i="31"/>
  <c r="K21" i="31"/>
  <c r="K57" i="31"/>
  <c r="K11" i="31"/>
  <c r="K107" i="31"/>
  <c r="K17" i="31"/>
  <c r="K29" i="31"/>
  <c r="K41" i="31"/>
  <c r="K53" i="31"/>
  <c r="K65" i="31"/>
  <c r="K77" i="31"/>
  <c r="K89" i="31"/>
  <c r="K101" i="31"/>
  <c r="K114" i="31"/>
  <c r="K125" i="31"/>
  <c r="K137" i="31"/>
  <c r="K18" i="31"/>
  <c r="K30" i="31"/>
  <c r="K42" i="31"/>
  <c r="K54" i="31"/>
  <c r="K66" i="31"/>
  <c r="K78" i="31"/>
  <c r="K90" i="31"/>
  <c r="K102" i="31"/>
  <c r="K113" i="31"/>
  <c r="K126" i="31"/>
  <c r="K138" i="31"/>
  <c r="K44" i="31"/>
  <c r="K93" i="31"/>
  <c r="K129" i="31"/>
  <c r="K19" i="31"/>
  <c r="K31" i="31"/>
  <c r="K43" i="31"/>
  <c r="K55" i="31"/>
  <c r="K67" i="31"/>
  <c r="K79" i="31"/>
  <c r="K91" i="31"/>
  <c r="K103" i="31"/>
  <c r="K115" i="31"/>
  <c r="K127" i="31"/>
  <c r="K139" i="31"/>
  <c r="K8" i="31"/>
  <c r="K20" i="31"/>
  <c r="K32" i="31"/>
  <c r="K45" i="31"/>
  <c r="K56" i="31"/>
  <c r="K68" i="31"/>
  <c r="K80" i="31"/>
  <c r="K92" i="31"/>
  <c r="K104" i="31"/>
  <c r="K116" i="31"/>
  <c r="K128" i="31"/>
  <c r="K7" i="31"/>
  <c r="K10" i="31"/>
  <c r="K22" i="31"/>
  <c r="K34" i="31"/>
  <c r="K46" i="31"/>
  <c r="L46" i="31" s="1"/>
  <c r="K58" i="31"/>
  <c r="K70" i="31"/>
  <c r="K82" i="31"/>
  <c r="K94" i="31"/>
  <c r="K106" i="31"/>
  <c r="K118" i="31"/>
  <c r="K130" i="31"/>
  <c r="K35" i="31"/>
  <c r="K47" i="31"/>
  <c r="K59" i="31"/>
  <c r="K72" i="31"/>
  <c r="K95" i="31"/>
  <c r="K131" i="31"/>
  <c r="K12" i="31"/>
  <c r="K24" i="31"/>
  <c r="K36" i="31"/>
  <c r="K48" i="31"/>
  <c r="K60" i="31"/>
  <c r="K73" i="31"/>
  <c r="K84" i="31"/>
  <c r="K96" i="31"/>
  <c r="K108" i="31"/>
  <c r="K120" i="31"/>
  <c r="K132" i="31"/>
  <c r="K98" i="31"/>
  <c r="K39" i="31"/>
  <c r="K87" i="31"/>
  <c r="K123" i="31"/>
  <c r="K33" i="31"/>
  <c r="K81" i="31"/>
  <c r="K105" i="31"/>
  <c r="K119" i="31"/>
  <c r="K13" i="31"/>
  <c r="K25" i="31"/>
  <c r="K37" i="31"/>
  <c r="K49" i="31"/>
  <c r="K61" i="31"/>
  <c r="K71" i="31"/>
  <c r="K85" i="31"/>
  <c r="K97" i="31"/>
  <c r="K109" i="31"/>
  <c r="K121" i="31"/>
  <c r="K133" i="31"/>
  <c r="K122" i="31"/>
  <c r="K27" i="31"/>
  <c r="K50" i="31"/>
  <c r="K75" i="31"/>
  <c r="K112" i="31"/>
  <c r="K135" i="31"/>
  <c r="K14" i="31"/>
  <c r="K26" i="31"/>
  <c r="K38" i="31"/>
  <c r="K51" i="31"/>
  <c r="K62" i="31"/>
  <c r="K74" i="31"/>
  <c r="K86" i="31"/>
  <c r="K110" i="31"/>
  <c r="K134" i="31"/>
  <c r="K15" i="31"/>
  <c r="K63" i="31"/>
  <c r="K99" i="31"/>
  <c r="K9" i="31"/>
  <c r="K69" i="31"/>
  <c r="K117" i="31"/>
  <c r="K83" i="31"/>
  <c r="L88" i="31" l="1"/>
  <c r="L49" i="31"/>
  <c r="L99" i="31"/>
  <c r="L15" i="31"/>
  <c r="L133" i="31"/>
  <c r="L115" i="31"/>
  <c r="L86" i="31"/>
  <c r="L87" i="31"/>
  <c r="L14" i="31"/>
  <c r="L64" i="31"/>
  <c r="L131" i="31"/>
  <c r="L113" i="31"/>
  <c r="L136" i="31"/>
  <c r="L82" i="31"/>
  <c r="L32" i="31"/>
  <c r="L30" i="31"/>
  <c r="L117" i="31"/>
  <c r="L74" i="31"/>
  <c r="L84" i="31"/>
  <c r="L77" i="31"/>
  <c r="L109" i="31"/>
  <c r="L103" i="31"/>
  <c r="L71" i="31"/>
  <c r="L70" i="31"/>
  <c r="L61" i="31"/>
  <c r="L58" i="31"/>
  <c r="L78" i="31"/>
  <c r="L63" i="31"/>
  <c r="L112" i="31"/>
  <c r="L45" i="31"/>
  <c r="L50" i="31"/>
  <c r="L66" i="31"/>
  <c r="L60" i="31"/>
  <c r="L114" i="31"/>
  <c r="L38" i="31"/>
  <c r="L36" i="31"/>
  <c r="L69" i="31"/>
  <c r="L26" i="31"/>
  <c r="L85" i="31"/>
  <c r="L24" i="31"/>
  <c r="L102" i="31"/>
  <c r="L39" i="31"/>
  <c r="L90" i="31"/>
  <c r="L111" i="31"/>
  <c r="L54" i="31"/>
  <c r="L41" i="31"/>
  <c r="L96" i="31"/>
  <c r="L129" i="31"/>
  <c r="L80" i="31"/>
  <c r="L37" i="31"/>
  <c r="L8" i="31"/>
  <c r="L57" i="31"/>
  <c r="L43" i="31"/>
  <c r="L42" i="31"/>
  <c r="L29" i="31"/>
  <c r="L7" i="31"/>
  <c r="L40" i="31"/>
  <c r="L127" i="31"/>
  <c r="L11" i="31"/>
  <c r="L12" i="31"/>
  <c r="L27" i="31"/>
  <c r="L116" i="31"/>
  <c r="L83" i="31"/>
  <c r="L106" i="31"/>
  <c r="L126" i="31"/>
  <c r="L23" i="31"/>
  <c r="L47" i="31"/>
  <c r="L73" i="31"/>
  <c r="L22" i="31"/>
  <c r="L93" i="31"/>
  <c r="L81" i="31"/>
  <c r="L118" i="31"/>
  <c r="L138" i="31"/>
  <c r="L125" i="31"/>
  <c r="L94" i="31"/>
  <c r="L92" i="31"/>
  <c r="L91" i="31"/>
  <c r="L19" i="31"/>
  <c r="L13" i="31"/>
  <c r="L48" i="31"/>
  <c r="L104" i="31"/>
  <c r="L89" i="31"/>
  <c r="L105" i="31"/>
  <c r="L128" i="31"/>
  <c r="L121" i="31"/>
  <c r="L16" i="31"/>
  <c r="J141" i="31"/>
  <c r="H142" i="31" s="1"/>
  <c r="L17" i="31"/>
  <c r="L62" i="31"/>
  <c r="L51" i="31"/>
  <c r="L123" i="31"/>
  <c r="L67" i="31"/>
  <c r="L56" i="31"/>
  <c r="L55" i="31"/>
  <c r="L65" i="31"/>
  <c r="L100" i="31"/>
  <c r="L95" i="31"/>
  <c r="L120" i="31"/>
  <c r="L34" i="31"/>
  <c r="L59" i="31"/>
  <c r="L10" i="31"/>
  <c r="L79" i="31"/>
  <c r="L134" i="31"/>
  <c r="L35" i="31"/>
  <c r="L107" i="31"/>
  <c r="L130" i="31"/>
  <c r="L44" i="31"/>
  <c r="L137" i="31"/>
  <c r="L28" i="31"/>
  <c r="L98" i="31"/>
  <c r="L75" i="31"/>
  <c r="G141" i="31"/>
  <c r="E142" i="31" s="1"/>
  <c r="L110" i="31"/>
  <c r="L52" i="31"/>
  <c r="L33" i="31"/>
  <c r="L21" i="31"/>
  <c r="L72" i="31"/>
  <c r="L97" i="31"/>
  <c r="L101" i="31"/>
  <c r="L124" i="31"/>
  <c r="L9" i="31"/>
  <c r="L68" i="31"/>
  <c r="L135" i="31"/>
  <c r="L132" i="31"/>
  <c r="L53" i="31"/>
  <c r="L31" i="31"/>
  <c r="L76" i="31"/>
  <c r="L25" i="31"/>
  <c r="L108" i="31"/>
  <c r="L20" i="31"/>
  <c r="L122" i="31"/>
  <c r="L119" i="31"/>
  <c r="L139" i="31"/>
  <c r="L18" i="31"/>
  <c r="K141" i="31"/>
  <c r="L141"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Reamy</author>
  </authors>
  <commentList>
    <comment ref="P6" authorId="0" shapeId="0" xr:uid="{36CA6B79-3A29-47A7-8AA9-63F43028AB06}">
      <text>
        <r>
          <rPr>
            <b/>
            <sz val="9"/>
            <color indexed="81"/>
            <rFont val="Tahoma"/>
            <family val="2"/>
          </rPr>
          <t>APA Note:</t>
        </r>
        <r>
          <rPr>
            <sz val="9"/>
            <color indexed="81"/>
            <rFont val="Tahoma"/>
            <family val="2"/>
          </rPr>
          <t xml:space="preserve">
Auditor performed an IF formula at Column O to compare Auditor's allocation % lookup to the locality allocation in OAA's schedule. All "Differences" noted in at Col O are not actual differences in the allocation % but resulted due to immaterial rounding differences; see calculations at Col. P.</t>
        </r>
      </text>
    </comment>
  </commentList>
</comments>
</file>

<file path=xl/sharedStrings.xml><?xml version="1.0" encoding="utf-8"?>
<sst xmlns="http://schemas.openxmlformats.org/spreadsheetml/2006/main" count="734" uniqueCount="355">
  <si>
    <t>Payment 1</t>
  </si>
  <si>
    <t>Payment 2</t>
  </si>
  <si>
    <t>Payment 3</t>
  </si>
  <si>
    <t>Payment 4</t>
  </si>
  <si>
    <t>Payment 5</t>
  </si>
  <si>
    <t>Payment 6</t>
  </si>
  <si>
    <t>Payment 7</t>
  </si>
  <si>
    <t>Payment 8</t>
  </si>
  <si>
    <t>Payment 9</t>
  </si>
  <si>
    <t>Payment 10</t>
  </si>
  <si>
    <t>Payment 11</t>
  </si>
  <si>
    <t>Total</t>
  </si>
  <si>
    <t>Accomack</t>
  </si>
  <si>
    <t>Albemarle</t>
  </si>
  <si>
    <t>Alexandria City</t>
  </si>
  <si>
    <t>Alleghany</t>
  </si>
  <si>
    <t>Amelia</t>
  </si>
  <si>
    <t>Amherst</t>
  </si>
  <si>
    <t>Appomattox</t>
  </si>
  <si>
    <t>Arlington</t>
  </si>
  <si>
    <t>Augusta</t>
  </si>
  <si>
    <t>Bath</t>
  </si>
  <si>
    <t>Bedford</t>
  </si>
  <si>
    <t>Bland</t>
  </si>
  <si>
    <t>Botetourt</t>
  </si>
  <si>
    <t>Bristol City</t>
  </si>
  <si>
    <t>Brunswick</t>
  </si>
  <si>
    <t>Buchanan</t>
  </si>
  <si>
    <t>Buckingham</t>
  </si>
  <si>
    <t>Buena Vista City</t>
  </si>
  <si>
    <t>Campbell</t>
  </si>
  <si>
    <t>Caroline</t>
  </si>
  <si>
    <t>Carroll</t>
  </si>
  <si>
    <t>Charles City</t>
  </si>
  <si>
    <t>Charlotte</t>
  </si>
  <si>
    <t>Charlottesville City</t>
  </si>
  <si>
    <t>Chesapeake City</t>
  </si>
  <si>
    <t>Chesterfield</t>
  </si>
  <si>
    <t>Clarke</t>
  </si>
  <si>
    <t>Colonial Heights City</t>
  </si>
  <si>
    <t>Covington City</t>
  </si>
  <si>
    <t>Craig</t>
  </si>
  <si>
    <t>Culpeper</t>
  </si>
  <si>
    <t>Cumberland</t>
  </si>
  <si>
    <t>Danville City</t>
  </si>
  <si>
    <t>Dickenson</t>
  </si>
  <si>
    <t>Dinwiddie</t>
  </si>
  <si>
    <t>Emporia City</t>
  </si>
  <si>
    <t>Essex</t>
  </si>
  <si>
    <t>Fairfax</t>
  </si>
  <si>
    <t>Fairfax City</t>
  </si>
  <si>
    <t>Falls Church City</t>
  </si>
  <si>
    <t>Fauquier</t>
  </si>
  <si>
    <t>Floyd</t>
  </si>
  <si>
    <t>Fluvanna</t>
  </si>
  <si>
    <t>Franklin</t>
  </si>
  <si>
    <t>Franklin City</t>
  </si>
  <si>
    <t>Frederick</t>
  </si>
  <si>
    <t>Fredericksburg City</t>
  </si>
  <si>
    <t>Galax City</t>
  </si>
  <si>
    <t>Giles</t>
  </si>
  <si>
    <t>Gloucester</t>
  </si>
  <si>
    <t>Goochland</t>
  </si>
  <si>
    <t>Grayson</t>
  </si>
  <si>
    <t>Greene</t>
  </si>
  <si>
    <t>Greensville</t>
  </si>
  <si>
    <t>Halifax</t>
  </si>
  <si>
    <t>Hampton City</t>
  </si>
  <si>
    <t>Hanover</t>
  </si>
  <si>
    <t>Harrisonburg City</t>
  </si>
  <si>
    <t>Henrico</t>
  </si>
  <si>
    <t>Henry</t>
  </si>
  <si>
    <t>Highland</t>
  </si>
  <si>
    <t>Hopewell City</t>
  </si>
  <si>
    <t>Isle of Wight</t>
  </si>
  <si>
    <t>James City</t>
  </si>
  <si>
    <t>King George</t>
  </si>
  <si>
    <t>King William</t>
  </si>
  <si>
    <t>King and Queen</t>
  </si>
  <si>
    <t>Lancaster</t>
  </si>
  <si>
    <t>Lee</t>
  </si>
  <si>
    <t>Lexington City</t>
  </si>
  <si>
    <t>Loudoun</t>
  </si>
  <si>
    <t>Louisa</t>
  </si>
  <si>
    <t>Lunenburg</t>
  </si>
  <si>
    <t>Lynchburg City</t>
  </si>
  <si>
    <t>Madison</t>
  </si>
  <si>
    <t>Manassas City</t>
  </si>
  <si>
    <t>Manassas Park City</t>
  </si>
  <si>
    <t>Martinsville City</t>
  </si>
  <si>
    <t>Mathews</t>
  </si>
  <si>
    <t>Mecklenburg</t>
  </si>
  <si>
    <t>Middlesex</t>
  </si>
  <si>
    <t>Montgomery</t>
  </si>
  <si>
    <t>Nelson</t>
  </si>
  <si>
    <t>New Kent</t>
  </si>
  <si>
    <t>Newport News City</t>
  </si>
  <si>
    <t>Norfolk City</t>
  </si>
  <si>
    <t>Northampton</t>
  </si>
  <si>
    <t>Northumberland</t>
  </si>
  <si>
    <t>Norton City</t>
  </si>
  <si>
    <t>Nottoway</t>
  </si>
  <si>
    <t>Orange</t>
  </si>
  <si>
    <t>Page</t>
  </si>
  <si>
    <t>Patrick</t>
  </si>
  <si>
    <t>Petersburg City</t>
  </si>
  <si>
    <t>Pittsylvania</t>
  </si>
  <si>
    <t>Poquoson City</t>
  </si>
  <si>
    <t>Portsmouth City</t>
  </si>
  <si>
    <t>Powhatan</t>
  </si>
  <si>
    <t>Prince Edward</t>
  </si>
  <si>
    <t>Prince George</t>
  </si>
  <si>
    <t>Prince William</t>
  </si>
  <si>
    <t>Pulaski</t>
  </si>
  <si>
    <t>Radford City</t>
  </si>
  <si>
    <t>Rappahannock</t>
  </si>
  <si>
    <t>Richmond</t>
  </si>
  <si>
    <t>Richmond City</t>
  </si>
  <si>
    <t>Roanoke</t>
  </si>
  <si>
    <t>Roanoke City</t>
  </si>
  <si>
    <t>Rockbridge</t>
  </si>
  <si>
    <t>Rockingham</t>
  </si>
  <si>
    <t>Russell</t>
  </si>
  <si>
    <t>Salem City</t>
  </si>
  <si>
    <t>Scott</t>
  </si>
  <si>
    <t>Shenandoah</t>
  </si>
  <si>
    <t>Smyth</t>
  </si>
  <si>
    <t>Southampton</t>
  </si>
  <si>
    <t>Spotsylvania</t>
  </si>
  <si>
    <t>Stafford</t>
  </si>
  <si>
    <t>Staunton City</t>
  </si>
  <si>
    <t>Suffolk City</t>
  </si>
  <si>
    <t>Surry</t>
  </si>
  <si>
    <t>Sussex</t>
  </si>
  <si>
    <t>Tazewell</t>
  </si>
  <si>
    <t>Virginia Beach City</t>
  </si>
  <si>
    <t>Warren</t>
  </si>
  <si>
    <t>Washington</t>
  </si>
  <si>
    <t>Waynesboro City</t>
  </si>
  <si>
    <t>Westmoreland</t>
  </si>
  <si>
    <t>Williamsburg City</t>
  </si>
  <si>
    <t>Winchester City</t>
  </si>
  <si>
    <t>Wise</t>
  </si>
  <si>
    <t>Wythe</t>
  </si>
  <si>
    <t>York</t>
  </si>
  <si>
    <t>Virginia Allocation %</t>
  </si>
  <si>
    <t>Source: Exhibit F</t>
  </si>
  <si>
    <t>Virginia Add'l Restitution Amount %</t>
  </si>
  <si>
    <t>Source: Exhibit N</t>
  </si>
  <si>
    <t>Exhibit M (All States)</t>
  </si>
  <si>
    <t>Payment Year 1</t>
  </si>
  <si>
    <t>Payment Year 2</t>
  </si>
  <si>
    <t>Payment Year 3</t>
  </si>
  <si>
    <t>Payment Year 4</t>
  </si>
  <si>
    <t>Payment Year 5</t>
  </si>
  <si>
    <t>Payment Year 6</t>
  </si>
  <si>
    <t>Payment Year 7</t>
  </si>
  <si>
    <t>Payment Year 8</t>
  </si>
  <si>
    <t>Payment Year 9</t>
  </si>
  <si>
    <t>Payment Year 10</t>
  </si>
  <si>
    <t>Payment Year 11</t>
  </si>
  <si>
    <t>Payment Year 12</t>
  </si>
  <si>
    <t>Payment Year 13</t>
  </si>
  <si>
    <t>Payment Year 14</t>
  </si>
  <si>
    <t>Payment Year 15</t>
  </si>
  <si>
    <t>Payment Year 16</t>
  </si>
  <si>
    <t>Payment Year 17</t>
  </si>
  <si>
    <t>Payment Year 18</t>
  </si>
  <si>
    <t>Base Payment</t>
  </si>
  <si>
    <t>Incentive Payment A</t>
  </si>
  <si>
    <t>Incentive Payment B</t>
  </si>
  <si>
    <t>Incentive Payment C</t>
  </si>
  <si>
    <t>Incentive Payment D</t>
  </si>
  <si>
    <t>Additional Restitution Amount</t>
  </si>
  <si>
    <t>VA Maximum Payments</t>
  </si>
  <si>
    <t>Methods: VA Maximum Payments is calculated by multiplying Virginia's Allocation percentage by Exhibit M's maximum possible payment for each year.</t>
  </si>
  <si>
    <t xml:space="preserve">                VA's Additional Restitution Amount is calculated by multiplying Virginia's Add'l Restitution Amount % by Exhibit M's maximum possible payment for each year</t>
  </si>
  <si>
    <t>Additional Restitution Amount (Sec. X)</t>
  </si>
  <si>
    <t>Methods: Incentive Payments B and C numbers were calculated by taking Incentive Payment A and multiplying by either 60% (Incentive B) or 40% (Incentive C)</t>
  </si>
  <si>
    <t>Locality</t>
  </si>
  <si>
    <t xml:space="preserve">Locality's Allocation Percentage </t>
  </si>
  <si>
    <t>Janssen</t>
  </si>
  <si>
    <t>From OAA</t>
  </si>
  <si>
    <t>Distributors</t>
  </si>
  <si>
    <t xml:space="preserve">MOU Allocation %: </t>
  </si>
  <si>
    <t>Virginia Locality Lookup Tool</t>
  </si>
  <si>
    <t>Locality Lookup Tool Instructions</t>
  </si>
  <si>
    <t>Name of Locality:</t>
  </si>
  <si>
    <t>Total Settlement Funds Paid to VA Localities by Year</t>
  </si>
  <si>
    <t>Total Payment</t>
  </si>
  <si>
    <t>Fiscal Year</t>
  </si>
  <si>
    <t>FY 2022</t>
  </si>
  <si>
    <t>FY 2023</t>
  </si>
  <si>
    <t>FY 2024</t>
  </si>
  <si>
    <t>FY 2025</t>
  </si>
  <si>
    <t>FY 2026</t>
  </si>
  <si>
    <t>FY 2027</t>
  </si>
  <si>
    <t>FY 2028</t>
  </si>
  <si>
    <t>FY 2029</t>
  </si>
  <si>
    <t>FY 2030</t>
  </si>
  <si>
    <t>FY 2031</t>
  </si>
  <si>
    <t>FY 2032</t>
  </si>
  <si>
    <t>FY 2033</t>
  </si>
  <si>
    <t>FY 2034</t>
  </si>
  <si>
    <t>FY 2035</t>
  </si>
  <si>
    <t>FY 2036</t>
  </si>
  <si>
    <t>FY 2037</t>
  </si>
  <si>
    <t>FY 2038</t>
  </si>
  <si>
    <t>FY 2039</t>
  </si>
  <si>
    <t xml:space="preserve">FY 2028 </t>
  </si>
  <si>
    <t>Paid FY 2023</t>
  </si>
  <si>
    <r>
      <rPr>
        <b/>
        <sz val="12"/>
        <color theme="1"/>
        <rFont val="Times New Roman"/>
        <family val="1"/>
      </rPr>
      <t xml:space="preserve">Distributors Settlement Payment Schedule </t>
    </r>
    <r>
      <rPr>
        <sz val="12"/>
        <color theme="1"/>
        <rFont val="Times New Roman"/>
        <family val="1"/>
      </rPr>
      <t xml:space="preserve">
(Amounts taken from Exhibit M of the Distributors Settlement Agreement) </t>
    </r>
  </si>
  <si>
    <r>
      <rPr>
        <b/>
        <sz val="12"/>
        <color theme="1"/>
        <rFont val="Times New Roman"/>
        <family val="1"/>
      </rPr>
      <t xml:space="preserve">Janssen Settlement Payment Schedule </t>
    </r>
    <r>
      <rPr>
        <sz val="12"/>
        <color theme="1"/>
        <rFont val="Times New Roman"/>
        <family val="1"/>
      </rPr>
      <t xml:space="preserve">
(Amounts taken from Exhibit M of the Janssen Settlement Agreement) </t>
    </r>
  </si>
  <si>
    <r>
      <rPr>
        <b/>
        <sz val="12"/>
        <color theme="1"/>
        <rFont val="Times New Roman"/>
        <family val="1"/>
      </rPr>
      <t>Payment Totals by Year</t>
    </r>
    <r>
      <rPr>
        <sz val="12"/>
        <color theme="1"/>
        <rFont val="Times New Roman"/>
        <family val="2"/>
      </rPr>
      <t xml:space="preserve">
(Base Payment, Incentive Payment A &amp; Incentive Payment D, if applicable) </t>
    </r>
  </si>
  <si>
    <t>Auditor's Recalculation and Agreement to PBC data:</t>
  </si>
  <si>
    <t>Note A</t>
  </si>
  <si>
    <t>Addtl Restitution</t>
  </si>
  <si>
    <t>Auditor's Recalculation of Totals Per Payment Year</t>
  </si>
  <si>
    <t>Revenue</t>
  </si>
  <si>
    <t>Accomack County</t>
  </si>
  <si>
    <t>Albemarle County</t>
  </si>
  <si>
    <t>Alleghany County</t>
  </si>
  <si>
    <t>Amelia County</t>
  </si>
  <si>
    <t>Amherst County</t>
  </si>
  <si>
    <t>Appomattox County</t>
  </si>
  <si>
    <t>Arlington County</t>
  </si>
  <si>
    <t>Augusta County</t>
  </si>
  <si>
    <t>Bath County</t>
  </si>
  <si>
    <t>Bedford County</t>
  </si>
  <si>
    <t>Bland County</t>
  </si>
  <si>
    <t>Botetourt County</t>
  </si>
  <si>
    <t>Brunswick County</t>
  </si>
  <si>
    <t>Buchanan County</t>
  </si>
  <si>
    <t>Buckingham County</t>
  </si>
  <si>
    <t>Campbell County</t>
  </si>
  <si>
    <t>Caroline County</t>
  </si>
  <si>
    <t>Carroll County</t>
  </si>
  <si>
    <t>Charles City County</t>
  </si>
  <si>
    <t>Charlotte County</t>
  </si>
  <si>
    <t>Chesterfield County</t>
  </si>
  <si>
    <t>Clarke County</t>
  </si>
  <si>
    <t>Craig County</t>
  </si>
  <si>
    <t>Culpeper County</t>
  </si>
  <si>
    <t>Cumberland County</t>
  </si>
  <si>
    <t>Dickenson County</t>
  </si>
  <si>
    <t>Dinwiddie County</t>
  </si>
  <si>
    <t>Essex County</t>
  </si>
  <si>
    <t>Fairfax County</t>
  </si>
  <si>
    <t>Fauquier County</t>
  </si>
  <si>
    <t>Floyd County</t>
  </si>
  <si>
    <t>Fluvanna County</t>
  </si>
  <si>
    <t>Franklin County</t>
  </si>
  <si>
    <t>Frederick County</t>
  </si>
  <si>
    <t>Giles County</t>
  </si>
  <si>
    <t>Gloucester County</t>
  </si>
  <si>
    <t>Goochland County</t>
  </si>
  <si>
    <t>Grayson County</t>
  </si>
  <si>
    <t>Greene County</t>
  </si>
  <si>
    <t>Greensville County</t>
  </si>
  <si>
    <t>Halifax County</t>
  </si>
  <si>
    <t>Hanover County</t>
  </si>
  <si>
    <t>Henrico County</t>
  </si>
  <si>
    <t>Henry County</t>
  </si>
  <si>
    <t>Highland County</t>
  </si>
  <si>
    <t>Isle of Wight County</t>
  </si>
  <si>
    <t>James City County</t>
  </si>
  <si>
    <t>King and Queen County</t>
  </si>
  <si>
    <t>King George County</t>
  </si>
  <si>
    <t>King William County</t>
  </si>
  <si>
    <t>Lancaster County</t>
  </si>
  <si>
    <t>Lee County</t>
  </si>
  <si>
    <t>Loudoun County</t>
  </si>
  <si>
    <t>Louisa County</t>
  </si>
  <si>
    <t>Lunenburg County</t>
  </si>
  <si>
    <t>Madison County</t>
  </si>
  <si>
    <t>Mathews County</t>
  </si>
  <si>
    <t>Mecklenburg County</t>
  </si>
  <si>
    <t>Middlesex County</t>
  </si>
  <si>
    <t>Montgomery County</t>
  </si>
  <si>
    <t>Nelson County</t>
  </si>
  <si>
    <t>New Kent County</t>
  </si>
  <si>
    <t>Northampton County</t>
  </si>
  <si>
    <t>Northumberland County</t>
  </si>
  <si>
    <t>Nottoway County</t>
  </si>
  <si>
    <t>Orange County</t>
  </si>
  <si>
    <t>Page County</t>
  </si>
  <si>
    <t>Patrick County</t>
  </si>
  <si>
    <t>Pittsylvania County</t>
  </si>
  <si>
    <t>Powhatan County</t>
  </si>
  <si>
    <t>Prince Edward County</t>
  </si>
  <si>
    <t>Prince George County</t>
  </si>
  <si>
    <t>Prince William County</t>
  </si>
  <si>
    <t>Pulaski County</t>
  </si>
  <si>
    <t>Rappahannock County</t>
  </si>
  <si>
    <t>Richmond County</t>
  </si>
  <si>
    <t>Roanoke County</t>
  </si>
  <si>
    <t>Rockbridge County</t>
  </si>
  <si>
    <t>Rockingham County</t>
  </si>
  <si>
    <t>Russell County</t>
  </si>
  <si>
    <t>Scott County</t>
  </si>
  <si>
    <t>Shenandoah County</t>
  </si>
  <si>
    <t>Smyth County</t>
  </si>
  <si>
    <t>Southampton County</t>
  </si>
  <si>
    <t>Spotsylvania County</t>
  </si>
  <si>
    <t>Stafford County</t>
  </si>
  <si>
    <t>Surry County</t>
  </si>
  <si>
    <t>Sussex County</t>
  </si>
  <si>
    <t>Tazewell County</t>
  </si>
  <si>
    <t>Warren County</t>
  </si>
  <si>
    <t>Washington County</t>
  </si>
  <si>
    <t>Westmoreland County</t>
  </si>
  <si>
    <t>Wise County</t>
  </si>
  <si>
    <t>Wythe County</t>
  </si>
  <si>
    <t>York County</t>
  </si>
  <si>
    <t>Auditor Match to OAA Allocation</t>
  </si>
  <si>
    <t>Auditor review of Differences Col L.</t>
  </si>
  <si>
    <t>Auditor's rounded % of Col C</t>
  </si>
  <si>
    <t>Auditor Recalculation Distributors Allocation</t>
  </si>
  <si>
    <t>Auditor Recalculation Janssen Allocation</t>
  </si>
  <si>
    <t>Differences- Col E  to Col F</t>
  </si>
  <si>
    <t>Differences- Col H to Col I</t>
  </si>
  <si>
    <t>Auditor's % (Col M values)</t>
  </si>
  <si>
    <t>Differences?</t>
  </si>
  <si>
    <t xml:space="preserve">Auditor's recalculation of each locality's total payments for Distributors and Janssen have some immaterial differences for certain localities due to the decimal places and rounding differences in the allocation percentages. The differences in total are $18.56 for Distributors, and $4.27 for Janssen. Because these differences are immaterial auditor performed no further review. To ensure consistency with communication that OAA has already made to the cities and counties regarding each locality's payments schedule, the Local Government manager used OAA's calculated allocation % and payment amounts for each locality when communicating guidance to the localities for their FY22 financial reporting. </t>
  </si>
  <si>
    <t>Auditor Locality Name for VLOOKUP</t>
  </si>
  <si>
    <t>Auditor VLOOKUP</t>
  </si>
  <si>
    <t>Auditor's VLOOKUP to tab: Local allocations</t>
  </si>
  <si>
    <r>
      <t>The yearly totals in the "</t>
    </r>
    <r>
      <rPr>
        <b/>
        <sz val="10.5"/>
        <color theme="1"/>
        <rFont val="Times New Roman"/>
        <family val="1"/>
      </rPr>
      <t>Distributors</t>
    </r>
    <r>
      <rPr>
        <sz val="10.5"/>
        <color theme="1"/>
        <rFont val="Times New Roman"/>
        <family val="1"/>
      </rPr>
      <t>" and "</t>
    </r>
    <r>
      <rPr>
        <b/>
        <sz val="10.5"/>
        <color theme="1"/>
        <rFont val="Times New Roman"/>
        <family val="1"/>
      </rPr>
      <t>Janssen</t>
    </r>
    <r>
      <rPr>
        <sz val="10.5"/>
        <color theme="1"/>
        <rFont val="Times New Roman"/>
        <family val="1"/>
      </rPr>
      <t>" columns are calculated by taking 22.5% of the Base Payments and Incentive Payments disbursed from the settlements in the specified year.  
The yearly totals in the "</t>
    </r>
    <r>
      <rPr>
        <b/>
        <sz val="10.5"/>
        <color theme="1"/>
        <rFont val="Times New Roman"/>
        <family val="1"/>
      </rPr>
      <t>From OAA</t>
    </r>
    <r>
      <rPr>
        <sz val="10.5"/>
        <color theme="1"/>
        <rFont val="Times New Roman"/>
        <family val="1"/>
      </rPr>
      <t xml:space="preserve">" column are calculated by taking 8.25% of the Base Payments and Incentive Payments disbursed from both settlements in the specified year. 
</t>
    </r>
  </si>
  <si>
    <r>
      <rPr>
        <b/>
        <i/>
        <sz val="12"/>
        <color theme="1"/>
        <rFont val="Calibri"/>
        <family val="2"/>
        <scheme val="minor"/>
      </rPr>
      <t>"Distributors"</t>
    </r>
    <r>
      <rPr>
        <i/>
        <sz val="12"/>
        <color theme="1"/>
        <rFont val="Calibri"/>
        <family val="2"/>
        <scheme val="minor"/>
      </rPr>
      <t xml:space="preserve"> means settlement payments from McKesson, AmerisourceBergan &amp; Cardinal Health</t>
    </r>
  </si>
  <si>
    <r>
      <rPr>
        <b/>
        <i/>
        <sz val="12"/>
        <color theme="1"/>
        <rFont val="Calibri"/>
        <family val="2"/>
        <scheme val="minor"/>
      </rPr>
      <t>"Janssen"</t>
    </r>
    <r>
      <rPr>
        <i/>
        <sz val="12"/>
        <color theme="1"/>
        <rFont val="Calibri"/>
        <family val="2"/>
        <scheme val="minor"/>
      </rPr>
      <t xml:space="preserve"> means settlement payments from Janssen Pharmaceuticals (J&amp;J)</t>
    </r>
  </si>
  <si>
    <t>DEBIT</t>
  </si>
  <si>
    <t>CREDIT</t>
  </si>
  <si>
    <t>ACCOUNT</t>
  </si>
  <si>
    <t>Accounts Receivable</t>
  </si>
  <si>
    <t>PBC OAA (Source: "Locality Look Up Tool (for APA calculation).xlsx")</t>
  </si>
  <si>
    <t>APA auditor agreed only the Distributors and Janssen payment amounts and the Locality allocation percentages on this worksheet to the underlying supporting data and legal documents. This tab is used by the OAA as the underlying source data for VLOOKUP's performed at tab: Locality Look-Up Tool to show the individual locality specific allocation percentages and payment data. By agreeing the underlying supporting data at this worksheet tab, Auditor ensures the accuracy and is able to rely on the Locality lookup tool to provide to localities when sending guidance for their FY22 financial reporting.</t>
  </si>
  <si>
    <t>APA Notes:</t>
  </si>
  <si>
    <t>Based on APA discussions with OAA, the OAA has also calculated additional "incentive payments" that each locality may be able to receive in future. This is an additional component related to an incentive payment the OAA is offering localities to comply with the OAA's standard/policies for properly using the funds for opioid abatement purposes. The incentive funds would come from the Commonwealth/OAA's discretionary funds.  These calculated incentive payments are different from each locality's guaranteed direct allocation from the Distributors and Janssen as stipulated in the Settlement Agreements. These funds are contingent on each locality meeting the OAA's requirements and therefore are not guaranteed future payments to be made to the localities. The OAA's additional "incentive payments" are noted as "From OAA" at tab: Local allocations, and tab: Totals and MOU%s, and as "25% Incentive" at tab: Locality Look-up Tool. APA Auditor performed no review over these amounts since they have no impact for the purposes of providing accrual information for the localities FY22 financial reporting.</t>
  </si>
  <si>
    <t>APA auditor agreed the Distributors payment amounts and the Virginia allocation percentages on this worksheet to the underlying supporting data and legal documents. This tab supports linkage at other worksheets in the workbook and is retained to ensure data accuracy. By agreeing the underlying supporting data at this worksheet tab, APA Auditor ensures the accuracy and is able to rely on the Locality lookup tool to provide to localities when sending guidance for their FY22 financial reporting.</t>
  </si>
  <si>
    <t>n/a</t>
  </si>
  <si>
    <t>APA auditor agreed the Janssen payment amounts and the Virginia allocation percentages on this worksheet to the underlying supporting data and legal documents. This tab supports linkage at other worksheets in the workbook and is retained to ensure data accuracy. By agreeing the underlying supporting data at this worksheet tab, APA Auditor ensures the accuracy and is able to rely on the Locality lookup tool to provide to localities when sending guidance for their FY22 financial reporting.</t>
  </si>
  <si>
    <t>Note 2</t>
  </si>
  <si>
    <t>APA auditor agreed only the Distributors and Janssen payment amounts and the Locality allocation percentages on this worksheet to the underlying supporting data and legal documents. This tab is used by the OAA as the underlying source data for linkage at other tabs in this workbook and is retained to ensure data accuracy. By agreeing the underlying supporting data at this worksheet tab, APA Auditor ensures the accuracy of the look up tool and is able to rely on the Locality lookup tool to provide to localities when sending guidance for their FY22 financial reporting.</t>
  </si>
  <si>
    <t>PBC Opioid Abatement Authority (Source: "Locality Look Up Tool (for APA calculation).xlsx")</t>
  </si>
  <si>
    <r>
      <t xml:space="preserve">Estimate of Projected Settlement Funds
</t>
    </r>
    <r>
      <rPr>
        <sz val="12"/>
        <color theme="1"/>
        <rFont val="Calibri"/>
        <family val="2"/>
        <scheme val="minor"/>
      </rPr>
      <t>FY 2022-2039</t>
    </r>
  </si>
  <si>
    <t>Governmental Funds (Modified accrual basis):</t>
  </si>
  <si>
    <t>Government Wide (Full Accrual basis):</t>
  </si>
  <si>
    <t>To see the settlement amounts disbursed to a specific locality each year: 
1. Click on the green cell C4, which currently reads "Accomack."
2. Use the drop down menu to select the locality of interest. The amounts below will change to show projected payments to the selected locality.</t>
  </si>
  <si>
    <t>Deferred Inflow of Resources</t>
  </si>
  <si>
    <t>The APA has provided the following basic, illustrative journal entries using Accomack amounts as an example only. As a reminder, management at each locality has responsibility for making the decision about whether a revenue accrual is necessary and ensuring the overall accuracy of such journal entries.</t>
  </si>
  <si>
    <r>
      <t xml:space="preserve">Auditor of Public Accounts (APA) Note for Locality Review: 
This schedule and data was provided by the Opioid Abatement Authority (OAA), with original source payment data provided by the Office of the Attorney General. Our Office has reviewed the schedule of projected settlement payments and the underlying data supporting the schedule below. We reviewed the accuracy of each locality’s allocation percentage and respective allocated share of total payment amounts included in the schedule of projected payments below. Accordingly, our Office has concluded that the cities and counties can rely upon this schedule of projected settlement payments as a </t>
    </r>
    <r>
      <rPr>
        <b/>
        <u/>
        <sz val="12"/>
        <color theme="4" tint="-0.249977111117893"/>
        <rFont val="Calibri"/>
        <family val="2"/>
        <scheme val="minor"/>
      </rPr>
      <t>reasonable estimate</t>
    </r>
    <r>
      <rPr>
        <b/>
        <sz val="12"/>
        <color theme="4" tint="-0.249977111117893"/>
        <rFont val="Calibri"/>
        <family val="2"/>
        <scheme val="minor"/>
      </rPr>
      <t xml:space="preserve"> for revenue accrual purposes for their FY2022 financial reporting.  Refer to instructions below to review locality specific payment data. </t>
    </r>
    <r>
      <rPr>
        <b/>
        <sz val="12"/>
        <color rgb="FFFF0000"/>
        <rFont val="Calibri"/>
        <family val="2"/>
        <scheme val="minor"/>
      </rPr>
      <t xml:space="preserve">
</t>
    </r>
    <r>
      <rPr>
        <b/>
        <sz val="12"/>
        <color theme="4" tint="-0.249977111117893"/>
        <rFont val="Calibri"/>
        <family val="2"/>
        <scheme val="minor"/>
      </rPr>
      <t xml:space="preserve">
The APA has also provided illustrative, example journal entries below, if the locality determines that an accrual journal entry is necessary. Please refer to further guidance at the file, </t>
    </r>
    <r>
      <rPr>
        <b/>
        <i/>
        <sz val="12"/>
        <color theme="4" tint="-0.249977111117893"/>
        <rFont val="Calibri"/>
        <family val="2"/>
        <scheme val="minor"/>
      </rPr>
      <t>APA Guidance for Locality Financial Reporting of Opioid Settlement Payments.pdf.</t>
    </r>
  </si>
  <si>
    <t>(1) To record a receivable for payment received by August 31 within 60 day period (Distributors 1st payment)</t>
  </si>
  <si>
    <t>3) To record a receivable for Opioid Settlement Payments on full accrual basis (reclassify the deferral recorded in the Fund statements)</t>
  </si>
  <si>
    <t>2) To record a receivable and defer the revenue for amounts expected to be received after August 31, after 60 day period. (GASB Statement 65, para. 30)</t>
  </si>
  <si>
    <r>
      <t xml:space="preserve">Disclaimer information provided by OAA: This schedule of payments provides an </t>
    </r>
    <r>
      <rPr>
        <b/>
        <u/>
        <sz val="12"/>
        <color theme="4" tint="-0.249977111117893"/>
        <rFont val="Calibri"/>
        <family val="2"/>
        <scheme val="minor"/>
      </rPr>
      <t>estimate</t>
    </r>
    <r>
      <rPr>
        <b/>
        <sz val="12"/>
        <color theme="4" tint="-0.249977111117893"/>
        <rFont val="Calibri"/>
        <family val="2"/>
        <scheme val="minor"/>
      </rPr>
      <t xml:space="preserve"> of the annual payments that may be provided to each locality, based on the best information currently available. Actual payment amounts are likely to vary depending on a number of possible external variables that could impact the actual annual payments at both the national and statewide levels. Cities and counties are encouraged to seek legal and financial confirmation of the payments.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</si>
</sst>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00000000%"/>
    <numFmt numFmtId="165" formatCode="&quot;$&quot;#,##0.00"/>
    <numFmt numFmtId="166" formatCode="#,##0.000000_);\(#,##0.000000\)"/>
    <numFmt numFmtId="167" formatCode="0.000000000000000"/>
    <numFmt numFmtId="168" formatCode="0.000000000000000%"/>
    <numFmt numFmtId="169" formatCode="_(&quot;$&quot;* #,##0_);_(&quot;$&quot;* \(#,##0\);_(&quot;$&quot;* &quot;-&quot;??_);_(@_)"/>
    <numFmt numFmtId="170" formatCode="0.000000000%"/>
    <numFmt numFmtId="171" formatCode="0.00000000"/>
    <numFmt numFmtId="172" formatCode="0.00000000000"/>
    <numFmt numFmtId="173" formatCode="0.00000%"/>
  </numFmts>
  <fonts count="6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color theme="1"/>
      <name val="Times New Roman"/>
      <family val="2"/>
    </font>
    <font>
      <sz val="11"/>
      <name val="Calibri"/>
      <family val="2"/>
    </font>
    <font>
      <sz val="12"/>
      <name val="Times New Roman"/>
      <family val="1"/>
    </font>
    <font>
      <b/>
      <sz val="12"/>
      <color theme="0"/>
      <name val="Times New Roman"/>
      <family val="1"/>
    </font>
    <font>
      <b/>
      <u/>
      <sz val="12"/>
      <color theme="1"/>
      <name val="Times New Roman"/>
      <family val="1"/>
    </font>
    <font>
      <sz val="12"/>
      <color rgb="FFFF0000"/>
      <name val="Times New Roman"/>
      <family val="1"/>
    </font>
    <font>
      <b/>
      <sz val="12"/>
      <name val="Times New Roman"/>
      <family val="1"/>
    </font>
    <font>
      <sz val="10.5"/>
      <color theme="1"/>
      <name val="Times New Roman"/>
      <family val="1"/>
    </font>
    <font>
      <b/>
      <sz val="10.5"/>
      <color theme="1"/>
      <name val="Times New Roman"/>
      <family val="1"/>
    </font>
    <font>
      <sz val="8"/>
      <name val="Times New Roman"/>
      <family val="2"/>
    </font>
    <font>
      <b/>
      <sz val="11"/>
      <color theme="1"/>
      <name val="Calibri"/>
      <family val="2"/>
      <scheme val="minor"/>
    </font>
    <font>
      <sz val="12"/>
      <color rgb="FF0097CC"/>
      <name val="Calibri"/>
      <family val="2"/>
      <scheme val="minor"/>
    </font>
    <font>
      <sz val="12"/>
      <color theme="1"/>
      <name val="Calibri"/>
      <family val="2"/>
      <scheme val="minor"/>
    </font>
    <font>
      <b/>
      <sz val="12"/>
      <color theme="1"/>
      <name val="Calibri"/>
      <family val="2"/>
      <scheme val="minor"/>
    </font>
    <font>
      <sz val="11"/>
      <color rgb="FF0097CC"/>
      <name val="Calibri"/>
      <family val="2"/>
      <scheme val="minor"/>
    </font>
    <font>
      <b/>
      <sz val="12"/>
      <color rgb="FFFF0000"/>
      <name val="Calibri"/>
      <family val="2"/>
      <scheme val="minor"/>
    </font>
    <font>
      <sz val="9"/>
      <color indexed="81"/>
      <name val="Tahoma"/>
      <family val="2"/>
    </font>
    <font>
      <b/>
      <sz val="12"/>
      <color rgb="FF0097CC"/>
      <name val="Calibri"/>
      <family val="2"/>
      <scheme val="minor"/>
    </font>
    <font>
      <b/>
      <sz val="12"/>
      <color theme="1"/>
      <name val="Times New Roman"/>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0097CC"/>
      <name val="Calibri"/>
      <family val="2"/>
      <scheme val="minor"/>
    </font>
    <font>
      <b/>
      <sz val="11"/>
      <color rgb="FFFF0000"/>
      <name val="Calibri"/>
      <family val="2"/>
      <scheme val="minor"/>
    </font>
    <font>
      <sz val="12"/>
      <color rgb="FFFF0000"/>
      <name val="Calibri"/>
      <family val="2"/>
      <scheme val="minor"/>
    </font>
    <font>
      <sz val="10"/>
      <color theme="1"/>
      <name val="Calibri"/>
      <family val="2"/>
      <scheme val="minor"/>
    </font>
    <font>
      <sz val="10"/>
      <color rgb="FF0097CC"/>
      <name val="Calibri"/>
      <family val="2"/>
      <scheme val="minor"/>
    </font>
    <font>
      <sz val="10"/>
      <color rgb="FF000000"/>
      <name val="Times New Roman"/>
      <charset val="204"/>
    </font>
    <font>
      <sz val="12"/>
      <color rgb="FF0097CC"/>
      <name val="Times New Roman"/>
      <family val="2"/>
    </font>
    <font>
      <b/>
      <sz val="12"/>
      <name val="Calibri"/>
      <family val="2"/>
      <scheme val="minor"/>
    </font>
    <font>
      <b/>
      <sz val="10"/>
      <color rgb="FF0097CC"/>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sz val="12"/>
      <color theme="3" tint="-0.249977111117893"/>
      <name val="Calibri"/>
      <family val="2"/>
      <scheme val="minor"/>
    </font>
    <font>
      <sz val="12"/>
      <color theme="3" tint="-0.249977111117893"/>
      <name val="Times New Roman"/>
      <family val="2"/>
    </font>
    <font>
      <sz val="12"/>
      <color theme="4" tint="-0.249977111117893"/>
      <name val="Calibri"/>
      <family val="2"/>
      <scheme val="minor"/>
    </font>
    <font>
      <b/>
      <sz val="11"/>
      <color theme="4" tint="-0.249977111117893"/>
      <name val="Calibri"/>
      <family val="2"/>
    </font>
    <font>
      <sz val="12"/>
      <color theme="4" tint="-0.249977111117893"/>
      <name val="Times New Roman"/>
      <family val="2"/>
    </font>
    <font>
      <sz val="11"/>
      <color theme="4" tint="-0.249977111117893"/>
      <name val="Calibri"/>
      <family val="2"/>
    </font>
    <font>
      <sz val="11"/>
      <color theme="4" tint="-0.249977111117893"/>
      <name val="Calibri"/>
      <family val="2"/>
      <scheme val="minor"/>
    </font>
    <font>
      <b/>
      <sz val="11"/>
      <color theme="4" tint="-0.249977111117893"/>
      <name val="Calibri"/>
      <family val="2"/>
      <scheme val="minor"/>
    </font>
    <font>
      <b/>
      <u/>
      <sz val="12"/>
      <color theme="4" tint="-0.249977111117893"/>
      <name val="Calibri"/>
      <family val="2"/>
      <scheme val="minor"/>
    </font>
    <font>
      <b/>
      <sz val="12"/>
      <color theme="4" tint="-0.249977111117893"/>
      <name val="Calibri"/>
      <family val="2"/>
      <scheme val="minor"/>
    </font>
    <font>
      <b/>
      <i/>
      <sz val="12"/>
      <color theme="4" tint="-0.249977111117893"/>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lightUp"/>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FFCA"/>
        <bgColor indexed="64"/>
      </patternFill>
    </fill>
    <fill>
      <patternFill patternType="solid">
        <fgColor indexed="65"/>
        <bgColor indexed="64"/>
      </patternFill>
    </fill>
    <fill>
      <patternFill patternType="solid">
        <fgColor theme="6"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8EA9DB"/>
      </left>
      <right/>
      <top style="medium">
        <color rgb="FF8EA9DB"/>
      </top>
      <bottom style="medium">
        <color rgb="FF8EA9DB"/>
      </bottom>
      <diagonal/>
    </border>
    <border>
      <left/>
      <right/>
      <top style="medium">
        <color rgb="FF8EA9DB"/>
      </top>
      <bottom style="medium">
        <color rgb="FF8EA9DB"/>
      </bottom>
      <diagonal/>
    </border>
    <border>
      <left/>
      <right style="medium">
        <color rgb="FF8EA9DB"/>
      </right>
      <top style="medium">
        <color rgb="FF8EA9DB"/>
      </top>
      <bottom style="medium">
        <color rgb="FF8EA9DB"/>
      </bottom>
      <diagonal/>
    </border>
    <border>
      <left style="medium">
        <color rgb="FF8EA9DB"/>
      </left>
      <right/>
      <top/>
      <bottom style="medium">
        <color rgb="FF8EA9DB"/>
      </bottom>
      <diagonal/>
    </border>
    <border>
      <left/>
      <right/>
      <top/>
      <bottom style="medium">
        <color rgb="FF8EA9DB"/>
      </bottom>
      <diagonal/>
    </border>
    <border>
      <left/>
      <right style="medium">
        <color rgb="FF8EA9DB"/>
      </right>
      <top/>
      <bottom style="medium">
        <color rgb="FF8EA9DB"/>
      </bottom>
      <diagonal/>
    </border>
    <border>
      <left/>
      <right/>
      <top style="medium">
        <color rgb="FF8EA9DB"/>
      </top>
      <bottom/>
      <diagonal/>
    </border>
  </borders>
  <cellStyleXfs count="55">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29" fillId="0" borderId="42" applyNumberFormat="0" applyFill="0" applyAlignment="0" applyProtection="0"/>
    <xf numFmtId="0" fontId="30" fillId="0" borderId="43" applyNumberFormat="0" applyFill="0" applyAlignment="0" applyProtection="0"/>
    <xf numFmtId="0" fontId="31" fillId="0" borderId="44"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45" applyNumberFormat="0" applyAlignment="0" applyProtection="0"/>
    <xf numFmtId="0" fontId="36" fillId="11" borderId="46" applyNumberFormat="0" applyAlignment="0" applyProtection="0"/>
    <xf numFmtId="0" fontId="37" fillId="11" borderId="45" applyNumberFormat="0" applyAlignment="0" applyProtection="0"/>
    <xf numFmtId="0" fontId="38" fillId="0" borderId="47" applyNumberFormat="0" applyFill="0" applyAlignment="0" applyProtection="0"/>
    <xf numFmtId="0" fontId="39" fillId="12" borderId="4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8" fillId="0" borderId="50" applyNumberFormat="0" applyFill="0" applyAlignment="0" applyProtection="0"/>
    <xf numFmtId="0" fontId="4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2"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3" borderId="49" applyNumberFormat="0" applyFont="0" applyAlignment="0" applyProtection="0"/>
    <xf numFmtId="0" fontId="48" fillId="0" borderId="0"/>
    <xf numFmtId="0" fontId="2" fillId="0" borderId="0"/>
  </cellStyleXfs>
  <cellXfs count="299">
    <xf numFmtId="0" fontId="0" fillId="0" borderId="0" xfId="0"/>
    <xf numFmtId="0" fontId="7" fillId="0" borderId="0" xfId="0" applyFont="1"/>
    <xf numFmtId="0" fontId="7" fillId="0" borderId="1" xfId="0" applyFont="1" applyBorder="1"/>
    <xf numFmtId="44" fontId="7" fillId="0" borderId="0" xfId="2" applyFont="1"/>
    <xf numFmtId="44" fontId="6" fillId="0" borderId="0" xfId="2" applyFont="1"/>
    <xf numFmtId="0" fontId="7" fillId="0" borderId="0" xfId="0" applyFont="1" applyAlignment="1">
      <alignment vertical="center"/>
    </xf>
    <xf numFmtId="165" fontId="7" fillId="0" borderId="0" xfId="2" applyNumberFormat="1" applyFont="1"/>
    <xf numFmtId="165" fontId="7" fillId="0" borderId="0" xfId="0" applyNumberFormat="1" applyFont="1"/>
    <xf numFmtId="165" fontId="7" fillId="0" borderId="0" xfId="0" applyNumberFormat="1" applyFont="1" applyAlignment="1">
      <alignment vertical="center"/>
    </xf>
    <xf numFmtId="44" fontId="0" fillId="0" borderId="21" xfId="0" applyNumberFormat="1" applyBorder="1" applyAlignment="1">
      <alignment vertical="center"/>
    </xf>
    <xf numFmtId="44" fontId="0" fillId="0" borderId="25" xfId="0" applyNumberFormat="1" applyBorder="1" applyAlignment="1">
      <alignment vertical="center"/>
    </xf>
    <xf numFmtId="0" fontId="7" fillId="0" borderId="8" xfId="0" applyFont="1" applyBorder="1"/>
    <xf numFmtId="0" fontId="6" fillId="0" borderId="30" xfId="0" applyFont="1" applyBorder="1"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24" xfId="0" applyBorder="1" applyAlignment="1">
      <alignment horizontal="center" vertical="center"/>
    </xf>
    <xf numFmtId="44" fontId="0" fillId="0" borderId="29" xfId="0" applyNumberFormat="1" applyBorder="1" applyAlignment="1">
      <alignment vertical="center"/>
    </xf>
    <xf numFmtId="0" fontId="12" fillId="0" borderId="30" xfId="0" applyFont="1" applyBorder="1" applyAlignment="1">
      <alignment horizontal="center" vertical="top"/>
    </xf>
    <xf numFmtId="0" fontId="12" fillId="0" borderId="32" xfId="0" applyFont="1" applyBorder="1" applyAlignment="1">
      <alignment horizontal="center" vertical="top"/>
    </xf>
    <xf numFmtId="0" fontId="0" fillId="0" borderId="0" xfId="0" applyAlignment="1">
      <alignment horizontal="left" vertical="top"/>
    </xf>
    <xf numFmtId="0" fontId="6" fillId="0" borderId="0" xfId="0" applyFont="1" applyAlignment="1">
      <alignment vertical="top" wrapText="1"/>
    </xf>
    <xf numFmtId="44" fontId="6" fillId="0" borderId="16" xfId="0" applyNumberFormat="1" applyFont="1" applyBorder="1" applyAlignment="1">
      <alignment vertical="center"/>
    </xf>
    <xf numFmtId="44" fontId="0" fillId="0" borderId="0" xfId="0" applyNumberFormat="1" applyAlignment="1">
      <alignment vertical="center"/>
    </xf>
    <xf numFmtId="0" fontId="6" fillId="0" borderId="0" xfId="0" applyFont="1"/>
    <xf numFmtId="0" fontId="6" fillId="0" borderId="0" xfId="0" applyFont="1" applyAlignment="1">
      <alignment horizontal="center"/>
    </xf>
    <xf numFmtId="44" fontId="0" fillId="0" borderId="0" xfId="0" applyNumberFormat="1"/>
    <xf numFmtId="0" fontId="6" fillId="0" borderId="0" xfId="0" applyFont="1" applyBorder="1" applyAlignment="1">
      <alignment horizontal="center" vertical="top"/>
    </xf>
    <xf numFmtId="44" fontId="6" fillId="0" borderId="0" xfId="0" applyNumberFormat="1" applyFont="1"/>
    <xf numFmtId="44" fontId="7" fillId="0" borderId="0" xfId="2" applyFont="1" applyFill="1"/>
    <xf numFmtId="44" fontId="6" fillId="0" borderId="0" xfId="2" applyFont="1" applyFill="1" applyBorder="1"/>
    <xf numFmtId="44" fontId="19" fillId="0" borderId="0" xfId="0" applyNumberFormat="1" applyFont="1"/>
    <xf numFmtId="0" fontId="21" fillId="0" borderId="0" xfId="0" applyFont="1" applyProtection="1">
      <protection locked="0"/>
    </xf>
    <xf numFmtId="3" fontId="19" fillId="0" borderId="0" xfId="6" applyNumberFormat="1" applyFont="1" applyProtection="1">
      <protection locked="0"/>
    </xf>
    <xf numFmtId="0" fontId="20" fillId="0" borderId="0" xfId="6" applyFont="1" applyProtection="1">
      <protection locked="0"/>
    </xf>
    <xf numFmtId="44" fontId="7" fillId="0" borderId="0" xfId="2" applyFont="1" applyProtection="1">
      <protection locked="0"/>
    </xf>
    <xf numFmtId="44" fontId="6" fillId="0" borderId="0" xfId="2" applyFont="1" applyProtection="1">
      <protection locked="0"/>
    </xf>
    <xf numFmtId="0" fontId="7" fillId="0" borderId="0" xfId="0" applyFont="1" applyProtection="1">
      <protection locked="0"/>
    </xf>
    <xf numFmtId="0" fontId="8" fillId="0" borderId="0" xfId="0" applyFont="1" applyProtection="1">
      <protection locked="0"/>
    </xf>
    <xf numFmtId="0" fontId="10" fillId="0" borderId="0" xfId="0" applyFont="1" applyFill="1" applyProtection="1">
      <protection locked="0"/>
    </xf>
    <xf numFmtId="164" fontId="10" fillId="0" borderId="0" xfId="3" applyNumberFormat="1" applyFont="1" applyFill="1" applyBorder="1" applyProtection="1">
      <protection locked="0"/>
    </xf>
    <xf numFmtId="44" fontId="10" fillId="0" borderId="0" xfId="2" applyFont="1" applyFill="1" applyBorder="1" applyProtection="1">
      <protection locked="0"/>
    </xf>
    <xf numFmtId="44" fontId="7" fillId="0" borderId="0" xfId="2" applyFont="1" applyFill="1" applyProtection="1">
      <protection locked="0"/>
    </xf>
    <xf numFmtId="44" fontId="6" fillId="0" borderId="0" xfId="2" applyFont="1" applyFill="1" applyProtection="1">
      <protection locked="0"/>
    </xf>
    <xf numFmtId="0" fontId="7" fillId="0" borderId="0" xfId="0" applyFont="1" applyFill="1" applyProtection="1">
      <protection locked="0"/>
    </xf>
    <xf numFmtId="44" fontId="6" fillId="0" borderId="30" xfId="2" applyFont="1" applyFill="1" applyBorder="1" applyAlignment="1" applyProtection="1">
      <alignment horizontal="center" vertical="center"/>
      <protection locked="0"/>
    </xf>
    <xf numFmtId="44" fontId="6" fillId="0" borderId="31" xfId="2" applyFont="1" applyFill="1" applyBorder="1" applyAlignment="1" applyProtection="1">
      <alignment horizontal="center" vertical="center"/>
      <protection locked="0"/>
    </xf>
    <xf numFmtId="44" fontId="6" fillId="0" borderId="32" xfId="2" applyFont="1" applyFill="1" applyBorder="1" applyAlignment="1" applyProtection="1">
      <alignment horizontal="center" vertical="center"/>
      <protection locked="0"/>
    </xf>
    <xf numFmtId="0" fontId="7" fillId="0" borderId="1" xfId="0" applyFont="1" applyFill="1" applyBorder="1" applyProtection="1">
      <protection locked="0"/>
    </xf>
    <xf numFmtId="44" fontId="14" fillId="0" borderId="0" xfId="2" applyFont="1" applyFill="1" applyBorder="1" applyProtection="1">
      <protection locked="0"/>
    </xf>
    <xf numFmtId="0" fontId="0" fillId="0" borderId="0" xfId="0" applyFill="1" applyProtection="1">
      <protection locked="0"/>
    </xf>
    <xf numFmtId="44" fontId="6" fillId="0" borderId="0" xfId="2" applyFont="1" applyFill="1" applyBorder="1" applyProtection="1">
      <protection locked="0"/>
    </xf>
    <xf numFmtId="43" fontId="7" fillId="0" borderId="0" xfId="1" applyFont="1" applyFill="1" applyProtection="1">
      <protection locked="0"/>
    </xf>
    <xf numFmtId="44" fontId="7" fillId="0" borderId="0" xfId="0" applyNumberFormat="1" applyFont="1" applyFill="1" applyProtection="1">
      <protection locked="0"/>
    </xf>
    <xf numFmtId="0" fontId="7" fillId="0" borderId="8" xfId="0" applyFont="1" applyFill="1" applyBorder="1" applyProtection="1">
      <protection locked="0"/>
    </xf>
    <xf numFmtId="0" fontId="0" fillId="0" borderId="0" xfId="0" applyProtection="1">
      <protection locked="0"/>
    </xf>
    <xf numFmtId="165" fontId="7" fillId="0" borderId="0" xfId="0" applyNumberFormat="1" applyFont="1" applyProtection="1">
      <protection locked="0"/>
    </xf>
    <xf numFmtId="0" fontId="19" fillId="0" borderId="0" xfId="0" applyFont="1" applyProtection="1">
      <protection locked="0"/>
    </xf>
    <xf numFmtId="0" fontId="20" fillId="0" borderId="0" xfId="0" applyFont="1" applyProtection="1">
      <protection locked="0"/>
    </xf>
    <xf numFmtId="0" fontId="19" fillId="0" borderId="1" xfId="0" applyFont="1" applyFill="1" applyBorder="1" applyProtection="1">
      <protection locked="0"/>
    </xf>
    <xf numFmtId="44" fontId="7" fillId="0" borderId="0" xfId="0" applyNumberFormat="1" applyFont="1" applyProtection="1">
      <protection locked="0"/>
    </xf>
    <xf numFmtId="44" fontId="19" fillId="0" borderId="0" xfId="0" applyNumberFormat="1" applyFont="1" applyProtection="1">
      <protection locked="0"/>
    </xf>
    <xf numFmtId="166" fontId="7" fillId="0" borderId="0" xfId="0" applyNumberFormat="1" applyFont="1" applyProtection="1">
      <protection locked="0"/>
    </xf>
    <xf numFmtId="0" fontId="19" fillId="0" borderId="8" xfId="0" applyFont="1" applyFill="1" applyBorder="1" applyProtection="1">
      <protection locked="0"/>
    </xf>
    <xf numFmtId="44" fontId="7" fillId="0" borderId="1" xfId="2" applyFont="1" applyFill="1" applyBorder="1" applyProtection="1">
      <protection locked="0"/>
    </xf>
    <xf numFmtId="44" fontId="11" fillId="0" borderId="1" xfId="2" applyFont="1" applyFill="1" applyBorder="1" applyProtection="1">
      <protection locked="0"/>
    </xf>
    <xf numFmtId="44" fontId="7" fillId="0" borderId="6" xfId="2" applyFont="1" applyFill="1" applyBorder="1" applyProtection="1">
      <protection locked="0"/>
    </xf>
    <xf numFmtId="44" fontId="7" fillId="0" borderId="33" xfId="2" applyFont="1" applyFill="1" applyBorder="1" applyProtection="1">
      <protection locked="0"/>
    </xf>
    <xf numFmtId="44" fontId="6" fillId="0" borderId="1" xfId="2" applyFont="1" applyFill="1" applyBorder="1" applyProtection="1">
      <protection locked="0"/>
    </xf>
    <xf numFmtId="44" fontId="19" fillId="0" borderId="0" xfId="0" applyNumberFormat="1" applyFont="1" applyFill="1" applyProtection="1">
      <protection locked="0"/>
    </xf>
    <xf numFmtId="44" fontId="7" fillId="0" borderId="0" xfId="2" applyFont="1" applyFill="1" applyBorder="1"/>
    <xf numFmtId="3" fontId="23" fillId="0" borderId="0" xfId="6" applyNumberFormat="1" applyFont="1" applyAlignment="1" applyProtection="1">
      <alignment horizontal="right"/>
      <protection locked="0"/>
    </xf>
    <xf numFmtId="3" fontId="19" fillId="0" borderId="0" xfId="6" applyNumberFormat="1" applyFont="1" applyAlignment="1" applyProtection="1">
      <alignment horizontal="left" wrapText="1"/>
      <protection locked="0"/>
    </xf>
    <xf numFmtId="3" fontId="25" fillId="0" borderId="0" xfId="6" applyNumberFormat="1" applyFont="1" applyAlignment="1" applyProtection="1">
      <alignment horizontal="right"/>
      <protection locked="0"/>
    </xf>
    <xf numFmtId="165" fontId="7" fillId="6" borderId="0" xfId="2" applyNumberFormat="1" applyFont="1" applyFill="1"/>
    <xf numFmtId="0" fontId="19" fillId="0" borderId="0" xfId="0" applyFont="1"/>
    <xf numFmtId="43" fontId="19" fillId="0" borderId="0" xfId="1" applyFont="1"/>
    <xf numFmtId="0" fontId="22" fillId="0" borderId="0" xfId="0" applyFont="1"/>
    <xf numFmtId="0" fontId="43" fillId="0" borderId="0" xfId="0" applyFont="1"/>
    <xf numFmtId="0" fontId="22" fillId="0" borderId="0" xfId="0" applyFont="1" applyAlignment="1" applyProtection="1">
      <alignment wrapText="1"/>
      <protection locked="0"/>
    </xf>
    <xf numFmtId="0" fontId="45" fillId="0" borderId="0" xfId="0" applyFont="1" applyProtection="1">
      <protection locked="0"/>
    </xf>
    <xf numFmtId="0" fontId="26" fillId="0" borderId="0" xfId="0" applyFont="1" applyProtection="1">
      <protection locked="0"/>
    </xf>
    <xf numFmtId="43" fontId="25" fillId="0" borderId="41" xfId="0" applyNumberFormat="1" applyFont="1" applyBorder="1" applyProtection="1">
      <protection locked="0"/>
    </xf>
    <xf numFmtId="43" fontId="25" fillId="38" borderId="41" xfId="1" applyFont="1" applyFill="1" applyBorder="1" applyProtection="1">
      <protection locked="0"/>
    </xf>
    <xf numFmtId="0" fontId="19" fillId="0" borderId="0" xfId="0" applyFont="1" applyAlignment="1">
      <alignment wrapText="1"/>
    </xf>
    <xf numFmtId="0" fontId="19" fillId="0" borderId="0" xfId="0" applyFont="1" applyAlignment="1">
      <alignment horizontal="left" wrapText="1"/>
    </xf>
    <xf numFmtId="44" fontId="6" fillId="0" borderId="31" xfId="2" applyFont="1" applyFill="1" applyBorder="1" applyAlignment="1">
      <alignment horizontal="center" vertical="center"/>
    </xf>
    <xf numFmtId="0" fontId="20" fillId="0" borderId="0" xfId="0" applyFont="1"/>
    <xf numFmtId="0" fontId="25" fillId="0" borderId="0" xfId="0" applyFont="1"/>
    <xf numFmtId="0" fontId="50" fillId="0" borderId="0" xfId="0" applyFont="1"/>
    <xf numFmtId="0" fontId="23" fillId="0" borderId="0" xfId="0" quotePrefix="1" applyFont="1" applyAlignment="1">
      <alignment horizontal="right"/>
    </xf>
    <xf numFmtId="0" fontId="23" fillId="0" borderId="0" xfId="0" quotePrefix="1" applyFont="1" applyAlignment="1">
      <alignment horizontal="left"/>
    </xf>
    <xf numFmtId="171" fontId="19" fillId="0" borderId="0" xfId="0" applyNumberFormat="1" applyFont="1"/>
    <xf numFmtId="171" fontId="47" fillId="0" borderId="0" xfId="0" applyNumberFormat="1" applyFont="1"/>
    <xf numFmtId="0" fontId="51" fillId="0" borderId="0" xfId="0" applyFont="1" applyAlignment="1">
      <alignment wrapText="1"/>
    </xf>
    <xf numFmtId="0" fontId="43" fillId="0" borderId="0" xfId="0" applyFont="1" applyAlignment="1">
      <alignment horizontal="center" wrapText="1"/>
    </xf>
    <xf numFmtId="0" fontId="6" fillId="0" borderId="0" xfId="0" applyFont="1" applyAlignment="1">
      <alignment horizontal="center" wrapText="1"/>
    </xf>
    <xf numFmtId="170" fontId="19" fillId="0" borderId="0" xfId="3" applyNumberFormat="1" applyFont="1" applyAlignment="1">
      <alignment vertical="center"/>
    </xf>
    <xf numFmtId="173" fontId="49" fillId="0" borderId="0" xfId="0" applyNumberFormat="1" applyFont="1" applyAlignment="1">
      <alignment vertical="center"/>
    </xf>
    <xf numFmtId="171" fontId="0" fillId="4" borderId="0" xfId="0" applyNumberFormat="1" applyFill="1"/>
    <xf numFmtId="0" fontId="0" fillId="4" borderId="0" xfId="0" applyFill="1"/>
    <xf numFmtId="172" fontId="19" fillId="0" borderId="0" xfId="0" applyNumberFormat="1" applyFont="1"/>
    <xf numFmtId="43" fontId="0" fillId="0" borderId="0" xfId="0" applyNumberFormat="1"/>
    <xf numFmtId="43" fontId="25" fillId="0" borderId="41" xfId="1" applyFont="1" applyBorder="1"/>
    <xf numFmtId="44" fontId="25" fillId="0" borderId="41" xfId="0" applyNumberFormat="1" applyFont="1" applyBorder="1"/>
    <xf numFmtId="165" fontId="6" fillId="6" borderId="0" xfId="2" applyNumberFormat="1" applyFont="1" applyFill="1" applyAlignment="1">
      <alignment horizontal="center"/>
    </xf>
    <xf numFmtId="0" fontId="6" fillId="0" borderId="3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Alignment="1">
      <alignment vertical="top" wrapText="1"/>
    </xf>
    <xf numFmtId="3" fontId="19" fillId="0" borderId="0" xfId="6" applyNumberFormat="1" applyFont="1" applyFill="1" applyProtection="1">
      <protection locked="0"/>
    </xf>
    <xf numFmtId="0" fontId="0" fillId="0" borderId="0" xfId="0" applyFill="1" applyAlignment="1">
      <alignment vertical="top"/>
    </xf>
    <xf numFmtId="0" fontId="0" fillId="0" borderId="0" xfId="0" applyFill="1"/>
    <xf numFmtId="3" fontId="25" fillId="0" borderId="0" xfId="6" applyNumberFormat="1" applyFont="1" applyFill="1" applyProtection="1">
      <protection locked="0"/>
    </xf>
    <xf numFmtId="3" fontId="44" fillId="0" borderId="0" xfId="54" applyNumberFormat="1" applyFont="1" applyProtection="1">
      <protection locked="0"/>
    </xf>
    <xf numFmtId="3" fontId="19" fillId="0" borderId="0" xfId="6" applyNumberFormat="1" applyFont="1" applyAlignment="1" applyProtection="1">
      <alignment wrapText="1"/>
      <protection locked="0"/>
    </xf>
    <xf numFmtId="3" fontId="19" fillId="0" borderId="0" xfId="6" applyNumberFormat="1" applyFont="1" applyFill="1" applyAlignment="1" applyProtection="1">
      <alignment wrapText="1"/>
      <protection locked="0"/>
    </xf>
    <xf numFmtId="0" fontId="12" fillId="0" borderId="30" xfId="0" applyFont="1" applyFill="1" applyBorder="1" applyAlignment="1">
      <alignment horizontal="center" vertical="top"/>
    </xf>
    <xf numFmtId="0" fontId="12" fillId="0" borderId="31" xfId="0" applyFont="1" applyFill="1" applyBorder="1" applyAlignment="1">
      <alignment horizontal="center" vertical="top"/>
    </xf>
    <xf numFmtId="0" fontId="12" fillId="0" borderId="32" xfId="0" applyFont="1" applyFill="1" applyBorder="1" applyAlignment="1">
      <alignment horizontal="center" vertical="top"/>
    </xf>
    <xf numFmtId="0" fontId="0" fillId="0" borderId="0" xfId="0" applyFill="1" applyAlignment="1">
      <alignment vertical="center"/>
    </xf>
    <xf numFmtId="0" fontId="10" fillId="0" borderId="2" xfId="4" applyFont="1" applyFill="1" applyBorder="1" applyAlignment="1">
      <alignment horizontal="left" vertical="center"/>
    </xf>
    <xf numFmtId="168" fontId="7" fillId="0" borderId="4" xfId="0" applyNumberFormat="1" applyFont="1" applyFill="1" applyBorder="1" applyAlignment="1">
      <alignment horizontal="center" vertical="center"/>
    </xf>
    <xf numFmtId="44" fontId="0" fillId="0" borderId="3" xfId="0" applyNumberFormat="1" applyFill="1" applyBorder="1" applyAlignment="1">
      <alignment vertical="center"/>
    </xf>
    <xf numFmtId="165" fontId="7" fillId="0" borderId="0" xfId="2" applyNumberFormat="1" applyFont="1" applyFill="1"/>
    <xf numFmtId="0" fontId="10" fillId="0" borderId="5" xfId="4" applyFont="1" applyFill="1" applyBorder="1" applyAlignment="1">
      <alignment horizontal="left" vertical="center"/>
    </xf>
    <xf numFmtId="168" fontId="7" fillId="0" borderId="6" xfId="0" applyNumberFormat="1" applyFont="1" applyFill="1" applyBorder="1" applyAlignment="1">
      <alignment horizontal="center" vertical="center"/>
    </xf>
    <xf numFmtId="44" fontId="0" fillId="0" borderId="1" xfId="0" applyNumberFormat="1" applyFill="1" applyBorder="1" applyAlignment="1">
      <alignment vertical="center"/>
    </xf>
    <xf numFmtId="44" fontId="0" fillId="0" borderId="8" xfId="0" applyNumberFormat="1" applyFill="1" applyBorder="1" applyAlignment="1">
      <alignment vertical="center"/>
    </xf>
    <xf numFmtId="44" fontId="14" fillId="0" borderId="31" xfId="0" applyNumberFormat="1" applyFont="1" applyFill="1" applyBorder="1" applyAlignment="1">
      <alignment vertical="center"/>
    </xf>
    <xf numFmtId="49" fontId="0" fillId="0" borderId="35" xfId="0" applyNumberFormat="1" applyFill="1" applyBorder="1" applyAlignment="1">
      <alignment horizontal="center" vertical="center"/>
    </xf>
    <xf numFmtId="44" fontId="0" fillId="0" borderId="36" xfId="0" applyNumberFormat="1" applyFill="1" applyBorder="1" applyAlignment="1">
      <alignment vertical="center"/>
    </xf>
    <xf numFmtId="44" fontId="0" fillId="0" borderId="37" xfId="0" applyNumberFormat="1" applyFill="1" applyBorder="1" applyAlignment="1">
      <alignment horizontal="center" vertical="center"/>
    </xf>
    <xf numFmtId="49" fontId="0" fillId="0" borderId="17" xfId="0" applyNumberFormat="1" applyFill="1" applyBorder="1" applyAlignment="1">
      <alignment horizontal="center" vertical="center"/>
    </xf>
    <xf numFmtId="44" fontId="0" fillId="0" borderId="1" xfId="0" applyNumberFormat="1" applyFill="1" applyBorder="1" applyAlignment="1">
      <alignment horizontal="center" vertical="center"/>
    </xf>
    <xf numFmtId="44" fontId="0" fillId="0" borderId="21" xfId="0" applyNumberFormat="1" applyFill="1" applyBorder="1" applyAlignment="1">
      <alignment horizontal="center" vertical="center"/>
    </xf>
    <xf numFmtId="49" fontId="0" fillId="0" borderId="18" xfId="0" applyNumberFormat="1" applyFill="1" applyBorder="1" applyAlignment="1">
      <alignment horizontal="center" vertical="center"/>
    </xf>
    <xf numFmtId="44" fontId="0" fillId="0" borderId="19" xfId="0" applyNumberFormat="1" applyFill="1" applyBorder="1" applyAlignment="1">
      <alignment vertical="center"/>
    </xf>
    <xf numFmtId="44" fontId="0" fillId="0" borderId="22" xfId="0" applyNumberFormat="1" applyFill="1" applyBorder="1" applyAlignment="1">
      <alignment horizontal="center" vertical="center"/>
    </xf>
    <xf numFmtId="0" fontId="10" fillId="0" borderId="7" xfId="4" applyFont="1" applyFill="1" applyBorder="1" applyAlignment="1">
      <alignment horizontal="left" vertical="center"/>
    </xf>
    <xf numFmtId="168" fontId="7" fillId="0" borderId="9" xfId="0" applyNumberFormat="1" applyFont="1" applyFill="1" applyBorder="1" applyAlignment="1">
      <alignment horizontal="center" vertical="center"/>
    </xf>
    <xf numFmtId="0" fontId="0" fillId="0" borderId="0" xfId="0" applyFill="1" applyAlignment="1">
      <alignment horizontal="left" vertical="top"/>
    </xf>
    <xf numFmtId="0" fontId="10" fillId="0" borderId="1" xfId="0" applyFont="1" applyFill="1" applyBorder="1" applyProtection="1">
      <protection locked="0"/>
    </xf>
    <xf numFmtId="164" fontId="10" fillId="0" borderId="1" xfId="3" applyNumberFormat="1" applyFont="1" applyFill="1" applyBorder="1" applyProtection="1">
      <protection locked="0"/>
    </xf>
    <xf numFmtId="44" fontId="10" fillId="0" borderId="1" xfId="2" applyFont="1" applyFill="1" applyBorder="1" applyProtection="1">
      <protection locked="0"/>
    </xf>
    <xf numFmtId="44" fontId="10" fillId="0" borderId="1" xfId="0" applyNumberFormat="1" applyFont="1" applyFill="1" applyBorder="1" applyProtection="1">
      <protection locked="0"/>
    </xf>
    <xf numFmtId="44" fontId="14" fillId="0" borderId="1" xfId="0" applyNumberFormat="1" applyFont="1" applyFill="1" applyBorder="1" applyProtection="1">
      <protection locked="0"/>
    </xf>
    <xf numFmtId="44" fontId="14" fillId="0" borderId="1" xfId="2" applyFont="1" applyFill="1" applyBorder="1" applyProtection="1">
      <protection locked="0"/>
    </xf>
    <xf numFmtId="44" fontId="10" fillId="0" borderId="8" xfId="2" applyFont="1" applyFill="1" applyBorder="1" applyProtection="1">
      <protection locked="0"/>
    </xf>
    <xf numFmtId="44" fontId="14" fillId="0" borderId="8" xfId="2" applyFont="1" applyFill="1" applyBorder="1" applyProtection="1">
      <protection locked="0"/>
    </xf>
    <xf numFmtId="44" fontId="10" fillId="0" borderId="6" xfId="2" applyFont="1" applyFill="1" applyBorder="1" applyProtection="1">
      <protection locked="0"/>
    </xf>
    <xf numFmtId="44" fontId="10" fillId="0" borderId="33" xfId="2" applyFont="1" applyFill="1" applyBorder="1" applyProtection="1">
      <protection locked="0"/>
    </xf>
    <xf numFmtId="44" fontId="10" fillId="0" borderId="9" xfId="2" applyFont="1" applyFill="1" applyBorder="1" applyProtection="1">
      <protection locked="0"/>
    </xf>
    <xf numFmtId="44" fontId="10" fillId="0" borderId="34" xfId="2" applyFont="1" applyFill="1" applyBorder="1" applyProtection="1">
      <protection locked="0"/>
    </xf>
    <xf numFmtId="43" fontId="25" fillId="0" borderId="0" xfId="1" applyFont="1" applyFill="1" applyProtection="1">
      <protection locked="0"/>
    </xf>
    <xf numFmtId="0" fontId="21" fillId="0" borderId="0" xfId="0" applyFont="1" applyFill="1" applyProtection="1">
      <protection locked="0"/>
    </xf>
    <xf numFmtId="0" fontId="22" fillId="0" borderId="0" xfId="0" applyFont="1" applyFill="1" applyAlignment="1" applyProtection="1">
      <alignment wrapText="1"/>
      <protection locked="0"/>
    </xf>
    <xf numFmtId="43" fontId="19" fillId="0" borderId="0" xfId="1" applyFont="1" applyFill="1"/>
    <xf numFmtId="165" fontId="7" fillId="0" borderId="0" xfId="0" applyNumberFormat="1" applyFont="1" applyFill="1"/>
    <xf numFmtId="0" fontId="7" fillId="0" borderId="0" xfId="0" applyFont="1" applyFill="1"/>
    <xf numFmtId="43" fontId="19" fillId="0" borderId="41" xfId="1" applyFont="1" applyFill="1" applyBorder="1"/>
    <xf numFmtId="0" fontId="45" fillId="0" borderId="0" xfId="0" applyFont="1" applyFill="1" applyAlignment="1" applyProtection="1">
      <alignment horizontal="center"/>
      <protection locked="0"/>
    </xf>
    <xf numFmtId="165" fontId="7" fillId="0" borderId="1" xfId="2" applyNumberFormat="1" applyFont="1" applyFill="1" applyBorder="1"/>
    <xf numFmtId="164" fontId="10" fillId="0" borderId="0" xfId="3" applyNumberFormat="1" applyFont="1" applyFill="1" applyBorder="1"/>
    <xf numFmtId="165" fontId="7" fillId="0" borderId="0" xfId="2" applyNumberFormat="1" applyFont="1" applyFill="1" applyBorder="1"/>
    <xf numFmtId="44" fontId="7" fillId="0" borderId="1" xfId="2" applyFont="1" applyFill="1" applyBorder="1" applyAlignment="1">
      <alignment horizontal="center" vertical="center"/>
    </xf>
    <xf numFmtId="44" fontId="6" fillId="0" borderId="1" xfId="2" applyFont="1" applyFill="1" applyBorder="1" applyAlignment="1">
      <alignment horizontal="center" vertical="center"/>
    </xf>
    <xf numFmtId="44" fontId="10" fillId="0" borderId="1" xfId="2" applyFont="1" applyFill="1" applyBorder="1"/>
    <xf numFmtId="44" fontId="10" fillId="0" borderId="1" xfId="0" applyNumberFormat="1" applyFont="1" applyFill="1" applyBorder="1"/>
    <xf numFmtId="44" fontId="14" fillId="0" borderId="1" xfId="0" applyNumberFormat="1" applyFont="1" applyFill="1" applyBorder="1"/>
    <xf numFmtId="44" fontId="19" fillId="0" borderId="0" xfId="0" applyNumberFormat="1" applyFont="1" applyFill="1"/>
    <xf numFmtId="44" fontId="6" fillId="0" borderId="1" xfId="2" applyFont="1" applyFill="1" applyBorder="1"/>
    <xf numFmtId="44" fontId="10" fillId="0" borderId="8" xfId="2" applyFont="1" applyFill="1" applyBorder="1"/>
    <xf numFmtId="44" fontId="6" fillId="0" borderId="40" xfId="2" applyFont="1" applyFill="1" applyBorder="1"/>
    <xf numFmtId="44" fontId="14" fillId="0" borderId="1" xfId="2" applyFont="1" applyFill="1" applyBorder="1"/>
    <xf numFmtId="44" fontId="6" fillId="0" borderId="8" xfId="2" applyFont="1" applyFill="1" applyBorder="1"/>
    <xf numFmtId="44" fontId="13" fillId="0" borderId="0" xfId="2" applyFont="1" applyFill="1" applyBorder="1"/>
    <xf numFmtId="0" fontId="25" fillId="0" borderId="0" xfId="0" quotePrefix="1" applyFont="1" applyAlignment="1">
      <alignment horizontal="right"/>
    </xf>
    <xf numFmtId="0" fontId="25" fillId="0" borderId="0" xfId="0" quotePrefix="1" applyFont="1" applyAlignment="1">
      <alignment horizontal="center"/>
    </xf>
    <xf numFmtId="0" fontId="49" fillId="0" borderId="0" xfId="0" applyFont="1"/>
    <xf numFmtId="44" fontId="25" fillId="0" borderId="41" xfId="0" applyNumberFormat="1" applyFont="1" applyFill="1" applyBorder="1"/>
    <xf numFmtId="0" fontId="20" fillId="2" borderId="0" xfId="0" applyFont="1" applyFill="1"/>
    <xf numFmtId="0" fontId="54" fillId="2" borderId="39" xfId="0" applyFont="1" applyFill="1" applyBorder="1" applyAlignment="1">
      <alignment horizontal="center" vertical="center"/>
    </xf>
    <xf numFmtId="0" fontId="54" fillId="2" borderId="38" xfId="0" applyFont="1" applyFill="1" applyBorder="1" applyAlignment="1">
      <alignment horizontal="center" vertical="center"/>
    </xf>
    <xf numFmtId="0" fontId="20" fillId="2" borderId="12" xfId="0" applyFont="1" applyFill="1" applyBorder="1"/>
    <xf numFmtId="0" fontId="20" fillId="39" borderId="0" xfId="0" applyFont="1" applyFill="1"/>
    <xf numFmtId="0" fontId="50" fillId="39" borderId="0" xfId="0" applyFont="1" applyFill="1"/>
    <xf numFmtId="3" fontId="22" fillId="39" borderId="0" xfId="54" applyNumberFormat="1" applyFont="1" applyFill="1" applyAlignment="1"/>
    <xf numFmtId="3" fontId="44" fillId="39" borderId="0" xfId="54" applyNumberFormat="1" applyFont="1" applyFill="1" applyProtection="1">
      <protection locked="0"/>
    </xf>
    <xf numFmtId="0" fontId="20" fillId="39" borderId="17" xfId="0" applyFont="1" applyFill="1" applyBorder="1" applyAlignment="1">
      <alignment horizontal="center" vertical="center"/>
    </xf>
    <xf numFmtId="0" fontId="20" fillId="39" borderId="28" xfId="0" applyFont="1" applyFill="1" applyBorder="1" applyAlignment="1">
      <alignment horizontal="center" vertical="center"/>
    </xf>
    <xf numFmtId="0" fontId="20" fillId="39" borderId="24" xfId="0" applyFont="1" applyFill="1" applyBorder="1" applyAlignment="1">
      <alignment horizontal="center"/>
    </xf>
    <xf numFmtId="37" fontId="20" fillId="39" borderId="3" xfId="2" applyNumberFormat="1" applyFont="1" applyFill="1" applyBorder="1"/>
    <xf numFmtId="0" fontId="20" fillId="39" borderId="17" xfId="0" applyFont="1" applyFill="1" applyBorder="1" applyAlignment="1">
      <alignment horizontal="center"/>
    </xf>
    <xf numFmtId="3" fontId="22" fillId="39" borderId="0" xfId="54" applyNumberFormat="1" applyFont="1" applyFill="1" applyBorder="1" applyAlignment="1"/>
    <xf numFmtId="0" fontId="21" fillId="39" borderId="30" xfId="0" applyFont="1" applyFill="1" applyBorder="1" applyAlignment="1">
      <alignment horizontal="center" vertical="center"/>
    </xf>
    <xf numFmtId="169" fontId="21" fillId="39" borderId="31" xfId="0" applyNumberFormat="1" applyFont="1" applyFill="1" applyBorder="1"/>
    <xf numFmtId="169" fontId="21" fillId="39" borderId="32" xfId="0" applyNumberFormat="1" applyFont="1" applyFill="1" applyBorder="1"/>
    <xf numFmtId="167" fontId="20" fillId="39" borderId="22" xfId="0" applyNumberFormat="1" applyFont="1" applyFill="1" applyBorder="1" applyAlignment="1">
      <alignment horizontal="center" vertical="center"/>
    </xf>
    <xf numFmtId="0" fontId="45" fillId="2" borderId="0" xfId="0" applyFont="1" applyFill="1"/>
    <xf numFmtId="0" fontId="20" fillId="2" borderId="10" xfId="0" applyFont="1" applyFill="1" applyBorder="1"/>
    <xf numFmtId="0" fontId="20" fillId="2" borderId="20" xfId="0" applyFont="1" applyFill="1" applyBorder="1"/>
    <xf numFmtId="0" fontId="20" fillId="39" borderId="11" xfId="0" applyFont="1" applyFill="1" applyBorder="1"/>
    <xf numFmtId="0" fontId="20" fillId="2" borderId="26" xfId="0" applyFont="1" applyFill="1" applyBorder="1"/>
    <xf numFmtId="0" fontId="20" fillId="2" borderId="0" xfId="0" applyFont="1" applyFill="1" applyBorder="1"/>
    <xf numFmtId="0" fontId="20" fillId="39" borderId="27" xfId="0" applyFont="1" applyFill="1" applyBorder="1"/>
    <xf numFmtId="0" fontId="52" fillId="2" borderId="0" xfId="0" applyFont="1" applyFill="1" applyBorder="1"/>
    <xf numFmtId="0" fontId="46" fillId="2" borderId="0" xfId="0" applyFont="1" applyFill="1" applyBorder="1" applyAlignment="1">
      <alignment horizontal="left" vertical="center" wrapText="1"/>
    </xf>
    <xf numFmtId="3" fontId="22" fillId="39" borderId="27" xfId="54" applyNumberFormat="1" applyFont="1" applyFill="1" applyBorder="1" applyAlignment="1"/>
    <xf numFmtId="0" fontId="20" fillId="2" borderId="0" xfId="0" applyFont="1" applyFill="1" applyBorder="1" applyAlignment="1">
      <alignment vertical="center"/>
    </xf>
    <xf numFmtId="0" fontId="52" fillId="2" borderId="0" xfId="0" applyFont="1" applyFill="1" applyBorder="1" applyAlignment="1">
      <alignment vertical="center"/>
    </xf>
    <xf numFmtId="37" fontId="20" fillId="2" borderId="0" xfId="2" applyNumberFormat="1" applyFont="1" applyFill="1" applyBorder="1"/>
    <xf numFmtId="3" fontId="22" fillId="39" borderId="14" xfId="54" applyNumberFormat="1" applyFont="1" applyFill="1" applyBorder="1" applyAlignment="1"/>
    <xf numFmtId="3" fontId="22" fillId="39" borderId="13" xfId="54" applyNumberFormat="1" applyFont="1" applyFill="1" applyBorder="1" applyAlignment="1"/>
    <xf numFmtId="0" fontId="55" fillId="39" borderId="0" xfId="0" applyFont="1" applyFill="1"/>
    <xf numFmtId="0" fontId="55" fillId="39" borderId="0" xfId="0" applyFont="1" applyFill="1" applyAlignment="1">
      <alignment wrapText="1"/>
    </xf>
    <xf numFmtId="0" fontId="55" fillId="2" borderId="0" xfId="0" applyFont="1" applyFill="1"/>
    <xf numFmtId="0" fontId="56" fillId="39" borderId="0" xfId="0" applyFont="1" applyFill="1"/>
    <xf numFmtId="0" fontId="57" fillId="39" borderId="0" xfId="0" applyFont="1" applyFill="1"/>
    <xf numFmtId="0" fontId="59" fillId="39" borderId="0" xfId="0" applyFont="1" applyFill="1"/>
    <xf numFmtId="0" fontId="57" fillId="2" borderId="0" xfId="0" applyFont="1" applyFill="1"/>
    <xf numFmtId="3" fontId="61" fillId="39" borderId="0" xfId="54" applyNumberFormat="1" applyFont="1" applyFill="1" applyAlignment="1"/>
    <xf numFmtId="3" fontId="61" fillId="39" borderId="0" xfId="54" applyNumberFormat="1" applyFont="1" applyFill="1" applyBorder="1" applyAlignment="1"/>
    <xf numFmtId="3" fontId="62" fillId="39" borderId="0" xfId="54" applyNumberFormat="1" applyFont="1" applyFill="1" applyBorder="1" applyAlignment="1"/>
    <xf numFmtId="0" fontId="57" fillId="39" borderId="0" xfId="0" applyFont="1" applyFill="1" applyAlignment="1"/>
    <xf numFmtId="0" fontId="58" fillId="39" borderId="0" xfId="0" applyFont="1" applyFill="1" applyProtection="1">
      <protection locked="0"/>
    </xf>
    <xf numFmtId="0" fontId="59" fillId="39" borderId="0" xfId="0" applyFont="1" applyFill="1" applyProtection="1">
      <protection locked="0"/>
    </xf>
    <xf numFmtId="0" fontId="58" fillId="40" borderId="51" xfId="0" applyFont="1" applyFill="1" applyBorder="1" applyAlignment="1" applyProtection="1">
      <alignment vertical="center" wrapText="1"/>
      <protection locked="0"/>
    </xf>
    <xf numFmtId="0" fontId="60" fillId="40" borderId="52" xfId="0" applyFont="1" applyFill="1" applyBorder="1" applyAlignment="1" applyProtection="1">
      <alignment wrapText="1"/>
      <protection locked="0"/>
    </xf>
    <xf numFmtId="0" fontId="60" fillId="39" borderId="54" xfId="0" applyFont="1" applyFill="1" applyBorder="1" applyAlignment="1" applyProtection="1">
      <alignment vertical="center" wrapText="1"/>
      <protection locked="0"/>
    </xf>
    <xf numFmtId="0" fontId="60" fillId="39" borderId="55" xfId="0" applyFont="1" applyFill="1" applyBorder="1" applyAlignment="1" applyProtection="1">
      <alignment wrapText="1"/>
      <protection locked="0"/>
    </xf>
    <xf numFmtId="3" fontId="60" fillId="39" borderId="55" xfId="0" applyNumberFormat="1" applyFont="1" applyFill="1" applyBorder="1" applyAlignment="1" applyProtection="1">
      <alignment vertical="center" wrapText="1"/>
      <protection locked="0"/>
    </xf>
    <xf numFmtId="0" fontId="60" fillId="39" borderId="56" xfId="0" applyFont="1" applyFill="1" applyBorder="1" applyAlignment="1" applyProtection="1">
      <alignment wrapText="1"/>
      <protection locked="0"/>
    </xf>
    <xf numFmtId="0" fontId="60" fillId="40" borderId="54" xfId="0" applyFont="1" applyFill="1" applyBorder="1" applyAlignment="1" applyProtection="1">
      <alignment wrapText="1"/>
      <protection locked="0"/>
    </xf>
    <xf numFmtId="0" fontId="60" fillId="40" borderId="55" xfId="0" applyFont="1" applyFill="1" applyBorder="1" applyAlignment="1" applyProtection="1">
      <alignment vertical="center" wrapText="1"/>
      <protection locked="0"/>
    </xf>
    <xf numFmtId="0" fontId="60" fillId="40" borderId="55" xfId="0" applyFont="1" applyFill="1" applyBorder="1" applyAlignment="1" applyProtection="1">
      <alignment wrapText="1"/>
      <protection locked="0"/>
    </xf>
    <xf numFmtId="0" fontId="60" fillId="0" borderId="55" xfId="0" applyFont="1" applyBorder="1" applyAlignment="1" applyProtection="1">
      <alignment wrapText="1"/>
      <protection locked="0"/>
    </xf>
    <xf numFmtId="0" fontId="60" fillId="0" borderId="56" xfId="0" applyFont="1" applyBorder="1" applyAlignment="1" applyProtection="1">
      <alignment wrapText="1"/>
      <protection locked="0"/>
    </xf>
    <xf numFmtId="0" fontId="57" fillId="39" borderId="0" xfId="0" applyFont="1" applyFill="1" applyProtection="1">
      <protection locked="0"/>
    </xf>
    <xf numFmtId="0" fontId="20" fillId="5" borderId="29" xfId="0" applyFont="1" applyFill="1" applyBorder="1" applyAlignment="1" applyProtection="1">
      <alignment horizontal="center" vertical="center"/>
      <protection locked="0"/>
    </xf>
    <xf numFmtId="0" fontId="60" fillId="39" borderId="54" xfId="0" applyFont="1" applyFill="1" applyBorder="1" applyAlignment="1" applyProtection="1">
      <alignment vertical="center"/>
      <protection locked="0"/>
    </xf>
    <xf numFmtId="0" fontId="60" fillId="40" borderId="55" xfId="0" applyFont="1" applyFill="1" applyBorder="1" applyAlignment="1" applyProtection="1">
      <alignment vertical="center"/>
      <protection locked="0"/>
    </xf>
    <xf numFmtId="0" fontId="58" fillId="40" borderId="52" xfId="0" applyFont="1" applyFill="1" applyBorder="1" applyAlignment="1" applyProtection="1">
      <alignment horizontal="center" vertical="center" wrapText="1"/>
      <protection locked="0"/>
    </xf>
    <xf numFmtId="0" fontId="58" fillId="40" borderId="53" xfId="0" applyFont="1" applyFill="1" applyBorder="1" applyAlignment="1" applyProtection="1">
      <alignment horizontal="center" vertical="center" wrapText="1"/>
      <protection locked="0"/>
    </xf>
    <xf numFmtId="0" fontId="60" fillId="39" borderId="57" xfId="0" applyFont="1" applyFill="1" applyBorder="1" applyAlignment="1" applyProtection="1">
      <alignment wrapText="1"/>
      <protection locked="0"/>
    </xf>
    <xf numFmtId="3" fontId="60" fillId="40" borderId="56" xfId="0" applyNumberFormat="1" applyFont="1" applyFill="1" applyBorder="1" applyAlignment="1" applyProtection="1">
      <alignment vertical="center" wrapText="1"/>
    </xf>
    <xf numFmtId="0" fontId="60" fillId="0" borderId="0" xfId="0" applyFont="1" applyBorder="1" applyAlignment="1" applyProtection="1">
      <alignment horizontal="left" wrapText="1"/>
      <protection locked="0"/>
    </xf>
    <xf numFmtId="0" fontId="60" fillId="0" borderId="55" xfId="0" applyFont="1" applyBorder="1" applyAlignment="1" applyProtection="1">
      <alignment horizontal="left" wrapText="1"/>
      <protection locked="0"/>
    </xf>
    <xf numFmtId="0" fontId="60" fillId="39" borderId="0" xfId="0" applyFont="1" applyFill="1" applyBorder="1" applyAlignment="1" applyProtection="1">
      <alignment horizontal="left" wrapText="1"/>
      <protection locked="0"/>
    </xf>
    <xf numFmtId="0" fontId="60" fillId="39" borderId="55" xfId="0" applyFont="1" applyFill="1" applyBorder="1" applyAlignment="1" applyProtection="1">
      <alignment horizontal="left" wrapText="1"/>
      <protection locked="0"/>
    </xf>
    <xf numFmtId="0" fontId="64" fillId="39" borderId="0" xfId="0" applyFont="1" applyFill="1" applyAlignment="1">
      <alignment horizontal="left" vertical="center" wrapText="1"/>
    </xf>
    <xf numFmtId="0" fontId="60" fillId="39" borderId="0" xfId="0" applyFont="1" applyFill="1" applyAlignment="1" applyProtection="1">
      <alignment horizontal="left" wrapText="1"/>
      <protection locked="0"/>
    </xf>
    <xf numFmtId="3" fontId="64" fillId="39" borderId="0" xfId="54" applyNumberFormat="1" applyFont="1" applyFill="1" applyAlignment="1">
      <alignment horizontal="left" vertical="top" wrapText="1"/>
    </xf>
    <xf numFmtId="0" fontId="21" fillId="3" borderId="1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0" xfId="0" applyFont="1" applyFill="1" applyBorder="1" applyAlignment="1">
      <alignment horizontal="center"/>
    </xf>
    <xf numFmtId="0" fontId="21" fillId="3" borderId="20" xfId="0" applyFont="1" applyFill="1" applyBorder="1" applyAlignment="1">
      <alignment horizontal="center"/>
    </xf>
    <xf numFmtId="0" fontId="21" fillId="3" borderId="11" xfId="0" applyFont="1" applyFill="1" applyBorder="1" applyAlignment="1">
      <alignment horizontal="center"/>
    </xf>
    <xf numFmtId="0" fontId="21" fillId="3" borderId="20" xfId="0" applyFont="1" applyFill="1" applyBorder="1" applyAlignment="1">
      <alignment horizontal="center" vertical="center"/>
    </xf>
    <xf numFmtId="0" fontId="1" fillId="39" borderId="26" xfId="0" applyFont="1" applyFill="1" applyBorder="1" applyAlignment="1">
      <alignment horizontal="left" vertical="top" wrapText="1"/>
    </xf>
    <xf numFmtId="0" fontId="1" fillId="39" borderId="0" xfId="0" applyFont="1" applyFill="1" applyBorder="1" applyAlignment="1">
      <alignment horizontal="left" vertical="top" wrapText="1"/>
    </xf>
    <xf numFmtId="0" fontId="1" fillId="39" borderId="27" xfId="0" applyFont="1" applyFill="1" applyBorder="1" applyAlignment="1">
      <alignment horizontal="left" vertical="top" wrapText="1"/>
    </xf>
    <xf numFmtId="0" fontId="1" fillId="39" borderId="12" xfId="0" applyFont="1" applyFill="1" applyBorder="1" applyAlignment="1">
      <alignment horizontal="left" vertical="top" wrapText="1"/>
    </xf>
    <xf numFmtId="0" fontId="1" fillId="39" borderId="14" xfId="0" applyFont="1" applyFill="1" applyBorder="1" applyAlignment="1">
      <alignment horizontal="left" vertical="top" wrapText="1"/>
    </xf>
    <xf numFmtId="0" fontId="1" fillId="39" borderId="13" xfId="0" applyFont="1" applyFill="1" applyBorder="1" applyAlignment="1">
      <alignment horizontal="left" vertical="top" wrapText="1"/>
    </xf>
    <xf numFmtId="0" fontId="64" fillId="2" borderId="0"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7"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49" fontId="15" fillId="0" borderId="26"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27" xfId="0" applyNumberFormat="1" applyFont="1" applyBorder="1" applyAlignment="1">
      <alignment horizontal="left" vertical="center" wrapText="1"/>
    </xf>
    <xf numFmtId="49" fontId="15" fillId="0" borderId="12"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3" fontId="19" fillId="0" borderId="0" xfId="6" applyNumberFormat="1" applyFont="1" applyAlignment="1" applyProtection="1">
      <alignment horizontal="left" wrapText="1"/>
      <protection locked="0"/>
    </xf>
    <xf numFmtId="3" fontId="19" fillId="0" borderId="0" xfId="6" applyNumberFormat="1" applyFont="1" applyFill="1" applyAlignment="1" applyProtection="1">
      <alignment horizontal="left" wrapText="1"/>
      <protection locked="0"/>
    </xf>
    <xf numFmtId="49" fontId="7" fillId="0" borderId="10" xfId="2" applyNumberFormat="1" applyFont="1" applyBorder="1" applyAlignment="1" applyProtection="1">
      <alignment horizontal="center" vertical="center" wrapText="1"/>
      <protection locked="0"/>
    </xf>
    <xf numFmtId="49" fontId="7" fillId="0" borderId="20" xfId="2" applyNumberFormat="1" applyFont="1" applyBorder="1" applyAlignment="1" applyProtection="1">
      <alignment horizontal="center" vertical="center"/>
      <protection locked="0"/>
    </xf>
    <xf numFmtId="49" fontId="7" fillId="0" borderId="11" xfId="2" applyNumberFormat="1" applyFont="1" applyBorder="1" applyAlignment="1" applyProtection="1">
      <alignment horizontal="center" vertical="center"/>
      <protection locked="0"/>
    </xf>
    <xf numFmtId="49" fontId="7" fillId="0" borderId="12" xfId="2" applyNumberFormat="1" applyFont="1" applyBorder="1" applyAlignment="1" applyProtection="1">
      <alignment horizontal="center" vertical="center"/>
      <protection locked="0"/>
    </xf>
    <xf numFmtId="49" fontId="7" fillId="0" borderId="14" xfId="2" applyNumberFormat="1" applyFont="1" applyBorder="1" applyAlignment="1" applyProtection="1">
      <alignment horizontal="center" vertical="center"/>
      <protection locked="0"/>
    </xf>
    <xf numFmtId="49" fontId="7" fillId="0" borderId="13" xfId="2" applyNumberFormat="1" applyFont="1" applyBorder="1" applyAlignment="1" applyProtection="1">
      <alignment horizontal="center" vertical="center"/>
      <protection locked="0"/>
    </xf>
    <xf numFmtId="44" fontId="6" fillId="0" borderId="30" xfId="2" applyFont="1" applyFill="1" applyBorder="1" applyAlignment="1">
      <alignment horizontal="center" vertical="center"/>
    </xf>
    <xf numFmtId="44" fontId="6" fillId="0" borderId="31" xfId="2" applyFont="1" applyFill="1" applyBorder="1" applyAlignment="1">
      <alignment horizontal="center" vertical="center"/>
    </xf>
    <xf numFmtId="49" fontId="7" fillId="0" borderId="35" xfId="2" applyNumberFormat="1" applyFont="1" applyBorder="1" applyAlignment="1">
      <alignment horizontal="center" vertical="center" wrapText="1"/>
    </xf>
    <xf numFmtId="49" fontId="7" fillId="0" borderId="36" xfId="2" applyNumberFormat="1" applyFont="1" applyBorder="1" applyAlignment="1">
      <alignment horizontal="center" vertical="center"/>
    </xf>
    <xf numFmtId="49" fontId="7" fillId="0" borderId="37" xfId="2" applyNumberFormat="1" applyFont="1" applyBorder="1" applyAlignment="1">
      <alignment horizontal="center" vertical="center"/>
    </xf>
    <xf numFmtId="49" fontId="7" fillId="0" borderId="18" xfId="2" applyNumberFormat="1" applyFont="1" applyBorder="1" applyAlignment="1">
      <alignment horizontal="center" vertical="center"/>
    </xf>
    <xf numFmtId="49" fontId="7" fillId="0" borderId="19" xfId="2" applyNumberFormat="1" applyFont="1" applyBorder="1" applyAlignment="1">
      <alignment horizontal="center" vertical="center"/>
    </xf>
    <xf numFmtId="49" fontId="7" fillId="0" borderId="22" xfId="2" applyNumberFormat="1" applyFont="1" applyBorder="1" applyAlignment="1">
      <alignment horizontal="center" vertical="center"/>
    </xf>
    <xf numFmtId="0" fontId="19" fillId="0" borderId="0" xfId="0" applyFont="1" applyAlignment="1">
      <alignment horizontal="left"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7" xr:uid="{5066958B-DFEC-4A2A-9B90-FFD4854018E4}"/>
    <cellStyle name="Comma 3" xfId="9" xr:uid="{0B48FACF-9592-4547-847F-44142E0A2857}"/>
    <cellStyle name="Currency" xfId="2" builtinId="4"/>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4" xr:uid="{00000000-0005-0000-0000-000003000000}"/>
    <cellStyle name="Normal 3" xfId="6" xr:uid="{3AEF0643-F78F-420C-9233-AF48EA4D1B53}"/>
    <cellStyle name="Normal 3 2" xfId="54" xr:uid="{3C7388D7-27AD-466A-8BBA-2036FF84F142}"/>
    <cellStyle name="Normal 4" xfId="8" xr:uid="{2D4F695C-6FF6-43F5-8491-2FF1D43DDD06}"/>
    <cellStyle name="Normal 5" xfId="51" xr:uid="{145224FD-A783-40BA-BA41-616C5B619123}"/>
    <cellStyle name="Normal 6" xfId="53" xr:uid="{920AA895-A561-4724-AB2E-50414AE36721}"/>
    <cellStyle name="Note 2" xfId="52" xr:uid="{92A8CC18-86E7-4DC5-B84D-3738DF994535}"/>
    <cellStyle name="Output" xfId="20" builtinId="21" customBuiltin="1"/>
    <cellStyle name="Percent" xfId="3" builtinId="5"/>
    <cellStyle name="Percent 2" xfId="5" xr:uid="{00000000-0005-0000-0000-000005000000}"/>
    <cellStyle name="Percent 3" xfId="10" xr:uid="{5E61FC22-D077-4CE5-9855-95F2F25C464A}"/>
    <cellStyle name="Title" xfId="11" builtinId="15" customBuiltin="1"/>
    <cellStyle name="Total" xfId="26" builtinId="25" customBuiltin="1"/>
    <cellStyle name="Warning Text" xfId="24" builtinId="11" customBuiltin="1"/>
  </cellStyles>
  <dxfs count="7">
    <dxf>
      <font>
        <b val="0"/>
        <i val="0"/>
        <strike val="0"/>
        <condense val="0"/>
        <extend val="0"/>
        <outline val="0"/>
        <shadow val="0"/>
        <u val="none"/>
        <vertAlign val="baseline"/>
        <sz val="12"/>
        <color theme="1"/>
        <name val="Times New Roman"/>
        <family val="1"/>
        <scheme val="none"/>
      </font>
      <numFmt numFmtId="170" formatCode="0.000000000%"/>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0" formatCode="General"/>
      <fill>
        <patternFill patternType="none">
          <fgColor theme="4" tint="0.79998168889431442"/>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none">
          <bgColor auto="1"/>
        </patternFill>
      </fill>
      <alignment vertical="center" textRotation="0" indent="0" justifyLastLine="0" shrinkToFit="0" readingOrder="0"/>
    </dxf>
    <dxf>
      <border>
        <bottom style="medium">
          <color indexed="64"/>
        </bottom>
      </border>
    </dxf>
    <dxf>
      <font>
        <b/>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97CC"/>
      <color rgb="FF33FFCA"/>
      <color rgb="FFB48FFF"/>
      <color rgb="FF9966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A1048A-1933-4B38-BE33-3AE1C99F098A}" name="Table5" displayName="Table5" ref="I6:J139" totalsRowShown="0" headerRowDxfId="6" dataDxfId="4" headerRowBorderDxfId="5" tableBorderDxfId="3" totalsRowBorderDxfId="2">
  <autoFilter ref="I6:J139" xr:uid="{5DA1048A-1933-4B38-BE33-3AE1C99F098A}"/>
  <tableColumns count="2">
    <tableColumn id="1" xr3:uid="{27290037-D9B0-4BF0-85EB-1A6B524B6FE9}" name="Locality" dataDxfId="1" dataCellStyle="Normal 2"/>
    <tableColumn id="2" xr3:uid="{CAA5C909-F5BF-44FA-9EA8-480CF35D5616}" name="Locality's Allocation Percentage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A32C-3AE8-4EF1-9E7D-A98F562CE8E4}">
  <sheetPr>
    <tabColor rgb="FF00B050"/>
  </sheetPr>
  <dimension ref="A1:X56"/>
  <sheetViews>
    <sheetView tabSelected="1" zoomScale="90" zoomScaleNormal="90" workbookViewId="0">
      <selection sqref="A1:P1"/>
    </sheetView>
  </sheetViews>
  <sheetFormatPr defaultColWidth="8.75" defaultRowHeight="15.75" x14ac:dyDescent="0.25"/>
  <cols>
    <col min="1" max="1" width="9.125" style="183" customWidth="1"/>
    <col min="2" max="2" width="17.5" style="183" customWidth="1"/>
    <col min="3" max="3" width="18.25" style="183" customWidth="1"/>
    <col min="4" max="4" width="10.75" style="183" customWidth="1"/>
    <col min="5" max="5" width="15.875" style="183" customWidth="1"/>
    <col min="6" max="6" width="0.125" style="183" customWidth="1"/>
    <col min="7" max="7" width="11.875" style="183" customWidth="1"/>
    <col min="8" max="8" width="11.625" style="183" customWidth="1"/>
    <col min="9" max="10" width="8.75" style="183"/>
    <col min="11" max="11" width="4.5" style="183" customWidth="1"/>
    <col min="12" max="12" width="2.875" style="183" customWidth="1"/>
    <col min="13" max="13" width="17.375" style="183" customWidth="1"/>
    <col min="14" max="14" width="20.25" style="183" customWidth="1"/>
    <col min="15" max="16384" width="8.75" style="183"/>
  </cols>
  <sheetData>
    <row r="1" spans="1:24" ht="128.44999999999999" customHeight="1" x14ac:dyDescent="0.25">
      <c r="A1" s="250" t="s">
        <v>350</v>
      </c>
      <c r="B1" s="250"/>
      <c r="C1" s="250"/>
      <c r="D1" s="250"/>
      <c r="E1" s="250"/>
      <c r="F1" s="250"/>
      <c r="G1" s="250"/>
      <c r="H1" s="250"/>
      <c r="I1" s="250"/>
      <c r="J1" s="250"/>
      <c r="K1" s="250"/>
      <c r="L1" s="250"/>
      <c r="M1" s="250"/>
      <c r="N1" s="250"/>
      <c r="O1" s="250"/>
      <c r="P1" s="250"/>
      <c r="R1" s="179"/>
      <c r="S1" s="179"/>
      <c r="T1" s="179"/>
      <c r="U1" s="179"/>
      <c r="V1" s="179"/>
      <c r="W1" s="179"/>
      <c r="X1" s="179"/>
    </row>
    <row r="2" spans="1:24" ht="43.15" customHeight="1" thickBot="1" x14ac:dyDescent="0.3">
      <c r="A2" s="186" t="s">
        <v>343</v>
      </c>
      <c r="C2" s="185"/>
      <c r="D2" s="185"/>
      <c r="E2" s="185"/>
      <c r="F2" s="185"/>
      <c r="O2" s="184"/>
      <c r="P2" s="179"/>
      <c r="Q2" s="179"/>
      <c r="R2" s="179"/>
      <c r="S2" s="179"/>
      <c r="T2" s="179"/>
      <c r="U2" s="179"/>
      <c r="V2" s="179"/>
      <c r="W2" s="179"/>
      <c r="X2" s="179"/>
    </row>
    <row r="3" spans="1:24" ht="32.450000000000003" customHeight="1" x14ac:dyDescent="0.25">
      <c r="A3" s="198"/>
      <c r="B3" s="254" t="s">
        <v>185</v>
      </c>
      <c r="C3" s="255"/>
      <c r="D3" s="199"/>
      <c r="E3" s="254" t="s">
        <v>186</v>
      </c>
      <c r="F3" s="259"/>
      <c r="G3" s="259"/>
      <c r="H3" s="255"/>
      <c r="I3" s="200"/>
      <c r="R3" s="179"/>
      <c r="S3" s="179"/>
      <c r="T3" s="179"/>
      <c r="U3" s="179"/>
      <c r="V3" s="179"/>
      <c r="W3" s="179"/>
      <c r="X3" s="179"/>
    </row>
    <row r="4" spans="1:24" ht="15.75" customHeight="1" x14ac:dyDescent="0.25">
      <c r="A4" s="201"/>
      <c r="B4" s="187" t="s">
        <v>187</v>
      </c>
      <c r="C4" s="237" t="s">
        <v>12</v>
      </c>
      <c r="D4" s="202"/>
      <c r="E4" s="260" t="s">
        <v>347</v>
      </c>
      <c r="F4" s="261"/>
      <c r="G4" s="261"/>
      <c r="H4" s="262"/>
      <c r="I4" s="203"/>
      <c r="R4" s="179"/>
      <c r="S4" s="179"/>
      <c r="T4" s="179"/>
      <c r="U4" s="179"/>
      <c r="V4" s="179"/>
      <c r="W4" s="179"/>
      <c r="X4" s="179"/>
    </row>
    <row r="5" spans="1:24" ht="16.5" thickBot="1" x14ac:dyDescent="0.3">
      <c r="A5" s="201"/>
      <c r="B5" s="188" t="s">
        <v>184</v>
      </c>
      <c r="C5" s="196">
        <f>VLOOKUP(C4, Table5[#All], 2, FALSE)*100</f>
        <v>0.34800348003480003</v>
      </c>
      <c r="D5" s="202"/>
      <c r="E5" s="260"/>
      <c r="F5" s="261"/>
      <c r="G5" s="261"/>
      <c r="H5" s="262"/>
      <c r="I5" s="203"/>
      <c r="M5" s="212"/>
      <c r="N5" s="212"/>
      <c r="O5" s="213"/>
      <c r="P5" s="214"/>
      <c r="Q5" s="214"/>
      <c r="R5" s="179"/>
      <c r="S5" s="179"/>
      <c r="T5" s="179"/>
      <c r="U5" s="179"/>
      <c r="V5" s="179"/>
      <c r="W5" s="179"/>
      <c r="X5" s="179"/>
    </row>
    <row r="6" spans="1:24" x14ac:dyDescent="0.25">
      <c r="A6" s="201"/>
      <c r="B6" s="202"/>
      <c r="C6" s="204"/>
      <c r="D6" s="202"/>
      <c r="E6" s="260"/>
      <c r="F6" s="261"/>
      <c r="G6" s="261"/>
      <c r="H6" s="262"/>
      <c r="I6" s="203"/>
      <c r="M6" s="212"/>
      <c r="N6" s="212"/>
      <c r="O6" s="213"/>
      <c r="P6" s="214"/>
      <c r="Q6" s="214"/>
      <c r="R6" s="179"/>
      <c r="S6" s="179"/>
      <c r="T6" s="179"/>
      <c r="U6" s="179"/>
      <c r="V6" s="179"/>
      <c r="W6" s="179"/>
      <c r="X6" s="179"/>
    </row>
    <row r="7" spans="1:24" ht="81" customHeight="1" thickBot="1" x14ac:dyDescent="0.3">
      <c r="A7" s="201"/>
      <c r="B7" s="202"/>
      <c r="C7" s="202"/>
      <c r="D7" s="202"/>
      <c r="E7" s="263"/>
      <c r="F7" s="264"/>
      <c r="G7" s="264"/>
      <c r="H7" s="265"/>
      <c r="I7" s="203"/>
      <c r="R7" s="179"/>
      <c r="S7" s="179"/>
      <c r="T7" s="179"/>
      <c r="U7" s="179"/>
      <c r="V7" s="179"/>
      <c r="W7" s="179"/>
      <c r="X7" s="179"/>
    </row>
    <row r="8" spans="1:24" ht="57.6" customHeight="1" x14ac:dyDescent="0.25">
      <c r="A8" s="201"/>
      <c r="B8" s="266" t="s">
        <v>354</v>
      </c>
      <c r="C8" s="266"/>
      <c r="D8" s="266"/>
      <c r="E8" s="266"/>
      <c r="F8" s="266"/>
      <c r="G8" s="266"/>
      <c r="H8" s="192"/>
      <c r="I8" s="206"/>
      <c r="J8" s="185"/>
      <c r="K8" s="185"/>
      <c r="L8" s="185"/>
      <c r="M8" s="248" t="s">
        <v>349</v>
      </c>
      <c r="N8" s="248"/>
      <c r="O8" s="248"/>
      <c r="P8" s="248"/>
      <c r="Q8" s="222"/>
      <c r="R8" s="179"/>
      <c r="S8" s="179"/>
      <c r="T8" s="179"/>
      <c r="U8" s="179"/>
      <c r="V8" s="179"/>
      <c r="W8" s="179"/>
      <c r="X8" s="179"/>
    </row>
    <row r="9" spans="1:24" ht="49.9" customHeight="1" x14ac:dyDescent="0.25">
      <c r="A9" s="201"/>
      <c r="B9" s="266"/>
      <c r="C9" s="266"/>
      <c r="D9" s="266"/>
      <c r="E9" s="266"/>
      <c r="F9" s="266"/>
      <c r="G9" s="266"/>
      <c r="H9" s="192"/>
      <c r="I9" s="206"/>
      <c r="J9" s="185"/>
      <c r="K9" s="185"/>
      <c r="L9" s="185"/>
      <c r="M9" s="248"/>
      <c r="N9" s="248"/>
      <c r="O9" s="248"/>
      <c r="P9" s="248"/>
      <c r="Q9" s="216"/>
      <c r="R9" s="179"/>
      <c r="S9" s="179"/>
      <c r="T9" s="179"/>
      <c r="U9" s="179"/>
      <c r="V9" s="179"/>
      <c r="W9" s="179"/>
      <c r="X9" s="179"/>
    </row>
    <row r="10" spans="1:24" ht="15.75" customHeight="1" x14ac:dyDescent="0.25">
      <c r="A10" s="201"/>
      <c r="C10" s="207"/>
      <c r="D10" s="207"/>
      <c r="E10" s="205"/>
      <c r="F10" s="205"/>
      <c r="G10" s="192"/>
      <c r="H10" s="192"/>
      <c r="I10" s="206"/>
      <c r="J10" s="185"/>
      <c r="K10" s="185"/>
      <c r="L10" s="185"/>
      <c r="M10" s="223" t="s">
        <v>345</v>
      </c>
      <c r="N10" s="224"/>
      <c r="O10" s="224"/>
      <c r="P10" s="224"/>
      <c r="Q10" s="218"/>
      <c r="R10" s="197"/>
      <c r="S10" s="179"/>
      <c r="T10" s="179"/>
      <c r="U10" s="179"/>
      <c r="V10" s="179"/>
      <c r="W10" s="179"/>
      <c r="X10" s="179"/>
    </row>
    <row r="11" spans="1:24" ht="15.75" customHeight="1" x14ac:dyDescent="0.25">
      <c r="A11" s="201"/>
      <c r="C11" s="207"/>
      <c r="D11" s="207"/>
      <c r="E11" s="207"/>
      <c r="F11" s="205"/>
      <c r="G11" s="192"/>
      <c r="H11" s="192"/>
      <c r="I11" s="206"/>
      <c r="J11" s="185"/>
      <c r="K11" s="185"/>
      <c r="L11" s="185"/>
      <c r="M11" s="249" t="s">
        <v>351</v>
      </c>
      <c r="N11" s="249"/>
      <c r="O11" s="249"/>
      <c r="P11" s="249"/>
      <c r="Q11" s="218"/>
      <c r="R11" s="197"/>
      <c r="S11" s="179"/>
      <c r="T11" s="179"/>
      <c r="U11" s="179"/>
      <c r="V11" s="179"/>
      <c r="W11" s="179"/>
      <c r="X11" s="179"/>
    </row>
    <row r="12" spans="1:24" ht="16.5" thickBot="1" x14ac:dyDescent="0.3">
      <c r="A12" s="201"/>
      <c r="B12" s="208" t="s">
        <v>328</v>
      </c>
      <c r="C12" s="208"/>
      <c r="D12" s="208"/>
      <c r="E12" s="208"/>
      <c r="F12" s="208"/>
      <c r="G12" s="192"/>
      <c r="H12" s="192"/>
      <c r="I12" s="206"/>
      <c r="J12" s="185"/>
      <c r="K12" s="185"/>
      <c r="L12" s="185"/>
      <c r="M12" s="247"/>
      <c r="N12" s="247"/>
      <c r="O12" s="247"/>
      <c r="P12" s="247"/>
      <c r="Q12" s="217"/>
      <c r="R12" s="197"/>
      <c r="S12" s="179"/>
      <c r="T12" s="179"/>
      <c r="U12" s="179"/>
      <c r="V12" s="179"/>
      <c r="W12" s="179"/>
      <c r="X12" s="179"/>
    </row>
    <row r="13" spans="1:24" ht="16.5" thickBot="1" x14ac:dyDescent="0.3">
      <c r="A13" s="201"/>
      <c r="B13" s="208" t="s">
        <v>329</v>
      </c>
      <c r="C13" s="207"/>
      <c r="D13" s="207"/>
      <c r="E13" s="207"/>
      <c r="F13" s="207"/>
      <c r="G13" s="192"/>
      <c r="H13" s="192"/>
      <c r="I13" s="206"/>
      <c r="J13" s="185"/>
      <c r="K13" s="185"/>
      <c r="L13" s="185"/>
      <c r="M13" s="225" t="s">
        <v>332</v>
      </c>
      <c r="N13" s="226"/>
      <c r="O13" s="240" t="s">
        <v>330</v>
      </c>
      <c r="P13" s="241" t="s">
        <v>331</v>
      </c>
      <c r="Q13" s="217"/>
      <c r="R13" s="179"/>
      <c r="S13" s="179"/>
      <c r="T13" s="179"/>
      <c r="U13" s="179"/>
      <c r="V13" s="179"/>
      <c r="W13" s="179"/>
      <c r="X13" s="179"/>
    </row>
    <row r="14" spans="1:24" ht="16.5" thickBot="1" x14ac:dyDescent="0.3">
      <c r="A14" s="201"/>
      <c r="B14" s="202"/>
      <c r="C14" s="202"/>
      <c r="D14" s="202"/>
      <c r="E14" s="202"/>
      <c r="F14" s="202"/>
      <c r="G14" s="192"/>
      <c r="H14" s="192"/>
      <c r="I14" s="206"/>
      <c r="J14" s="185"/>
      <c r="K14" s="185"/>
      <c r="L14" s="185"/>
      <c r="M14" s="227" t="s">
        <v>333</v>
      </c>
      <c r="N14" s="228"/>
      <c r="O14" s="229">
        <v>14150.897471224234</v>
      </c>
      <c r="P14" s="230"/>
      <c r="Q14" s="217"/>
      <c r="R14" s="179"/>
      <c r="S14" s="179"/>
      <c r="T14" s="179"/>
      <c r="U14" s="179"/>
      <c r="V14" s="179"/>
      <c r="W14" s="179"/>
      <c r="X14" s="179"/>
    </row>
    <row r="15" spans="1:24" ht="16.5" thickBot="1" x14ac:dyDescent="0.3">
      <c r="A15" s="201"/>
      <c r="B15" s="256" t="str">
        <f>C4</f>
        <v>Accomack</v>
      </c>
      <c r="C15" s="257"/>
      <c r="D15" s="257"/>
      <c r="E15" s="257"/>
      <c r="F15" s="258"/>
      <c r="G15" s="192"/>
      <c r="H15" s="192"/>
      <c r="I15" s="206"/>
      <c r="J15" s="185"/>
      <c r="K15" s="185"/>
      <c r="L15" s="185"/>
      <c r="M15" s="231"/>
      <c r="N15" s="232" t="s">
        <v>218</v>
      </c>
      <c r="O15" s="233"/>
      <c r="P15" s="243">
        <f>O14</f>
        <v>14150.897471224234</v>
      </c>
      <c r="Q15" s="217"/>
      <c r="R15" s="179"/>
      <c r="S15" s="179"/>
      <c r="T15" s="179"/>
      <c r="U15" s="179"/>
      <c r="V15" s="179"/>
      <c r="W15" s="179"/>
      <c r="X15" s="179"/>
    </row>
    <row r="16" spans="1:24" ht="16.149999999999999" customHeight="1" thickBot="1" x14ac:dyDescent="0.3">
      <c r="A16" s="201"/>
      <c r="B16" s="251" t="s">
        <v>344</v>
      </c>
      <c r="C16" s="252"/>
      <c r="D16" s="252"/>
      <c r="E16" s="252"/>
      <c r="F16" s="253"/>
      <c r="G16" s="192"/>
      <c r="H16" s="192"/>
      <c r="I16" s="206"/>
      <c r="J16" s="185"/>
      <c r="K16" s="185"/>
      <c r="L16" s="185"/>
      <c r="N16" s="242"/>
      <c r="O16" s="242"/>
      <c r="P16" s="242"/>
      <c r="Q16" s="215"/>
      <c r="R16" s="179"/>
      <c r="S16" s="179"/>
      <c r="T16" s="179"/>
      <c r="U16" s="179"/>
      <c r="V16" s="179"/>
      <c r="W16" s="179"/>
      <c r="X16" s="179"/>
    </row>
    <row r="17" spans="1:24" ht="28.15" customHeight="1" thickBot="1" x14ac:dyDescent="0.3">
      <c r="A17" s="201"/>
      <c r="B17" s="180" t="s">
        <v>190</v>
      </c>
      <c r="C17" s="181" t="s">
        <v>183</v>
      </c>
      <c r="D17" s="181" t="s">
        <v>181</v>
      </c>
      <c r="E17" s="181" t="s">
        <v>11</v>
      </c>
      <c r="F17" s="202"/>
      <c r="G17" s="221"/>
      <c r="H17" s="192"/>
      <c r="I17" s="206"/>
      <c r="J17" s="185"/>
      <c r="K17" s="185"/>
      <c r="L17" s="219"/>
      <c r="M17" s="246" t="s">
        <v>353</v>
      </c>
      <c r="N17" s="246"/>
      <c r="O17" s="246"/>
      <c r="P17" s="246"/>
      <c r="Q17" s="217"/>
      <c r="R17" s="197"/>
      <c r="S17" s="197"/>
      <c r="T17" s="179"/>
      <c r="U17" s="179"/>
      <c r="V17" s="179"/>
      <c r="W17" s="179"/>
      <c r="X17" s="179"/>
    </row>
    <row r="18" spans="1:24" ht="15.6" customHeight="1" thickBot="1" x14ac:dyDescent="0.3">
      <c r="A18" s="201"/>
      <c r="B18" s="189" t="s">
        <v>191</v>
      </c>
      <c r="C18" s="190">
        <f>'Totals and MOU%s'!C8*'Locality Look-Up Tool'!$C$5*0.01</f>
        <v>14150.897471224234</v>
      </c>
      <c r="D18" s="190">
        <f>'Totals and MOU%s'!D8*'Locality Look-Up Tool'!$C$5*0.01</f>
        <v>0</v>
      </c>
      <c r="E18" s="190">
        <f t="shared" ref="E18:E35" si="0">SUM(C18:D18)</f>
        <v>14150.897471224234</v>
      </c>
      <c r="F18" s="209"/>
      <c r="G18" s="220"/>
      <c r="H18" s="192"/>
      <c r="I18" s="206"/>
      <c r="J18" s="185"/>
      <c r="K18" s="185"/>
      <c r="L18" s="219"/>
      <c r="M18" s="247"/>
      <c r="N18" s="247"/>
      <c r="O18" s="247"/>
      <c r="P18" s="247"/>
      <c r="Q18" s="217"/>
      <c r="R18" s="179"/>
      <c r="S18" s="179"/>
      <c r="T18" s="179"/>
      <c r="U18" s="179"/>
      <c r="V18" s="179"/>
      <c r="W18" s="179"/>
      <c r="X18" s="179"/>
    </row>
    <row r="19" spans="1:24" ht="16.5" thickBot="1" x14ac:dyDescent="0.3">
      <c r="A19" s="201"/>
      <c r="B19" s="191" t="s">
        <v>192</v>
      </c>
      <c r="C19" s="190">
        <f>'Totals and MOU%s'!C9*'Locality Look-Up Tool'!$C$5*0.01</f>
        <v>14871.903377335873</v>
      </c>
      <c r="D19" s="190">
        <f>'Totals and MOU%s'!D9*'Locality Look-Up Tool'!$C$5*0.01</f>
        <v>56652.326071354488</v>
      </c>
      <c r="E19" s="190">
        <f t="shared" si="0"/>
        <v>71524.229448690356</v>
      </c>
      <c r="F19" s="209"/>
      <c r="G19" s="220"/>
      <c r="H19" s="192"/>
      <c r="I19" s="206"/>
      <c r="J19" s="185"/>
      <c r="K19" s="185"/>
      <c r="L19" s="219"/>
      <c r="M19" s="225" t="s">
        <v>332</v>
      </c>
      <c r="N19" s="226"/>
      <c r="O19" s="240" t="s">
        <v>330</v>
      </c>
      <c r="P19" s="241" t="s">
        <v>331</v>
      </c>
      <c r="Q19" s="217"/>
      <c r="R19" s="179"/>
      <c r="S19" s="179"/>
      <c r="T19" s="179"/>
      <c r="U19" s="179"/>
      <c r="V19" s="179"/>
      <c r="W19" s="179"/>
      <c r="X19" s="179"/>
    </row>
    <row r="20" spans="1:24" ht="16.5" thickBot="1" x14ac:dyDescent="0.3">
      <c r="A20" s="201"/>
      <c r="B20" s="191" t="s">
        <v>193</v>
      </c>
      <c r="C20" s="190">
        <f>'Totals and MOU%s'!C10*'Locality Look-Up Tool'!$C$5*0.01</f>
        <v>14871.903377335873</v>
      </c>
      <c r="D20" s="190">
        <f>'Totals and MOU%s'!D10*'Locality Look-Up Tool'!$C$5*0.01</f>
        <v>0</v>
      </c>
      <c r="E20" s="190">
        <f t="shared" si="0"/>
        <v>14871.903377335873</v>
      </c>
      <c r="F20" s="209"/>
      <c r="G20" s="220"/>
      <c r="H20" s="192"/>
      <c r="I20" s="206"/>
      <c r="J20" s="185"/>
      <c r="K20" s="185"/>
      <c r="L20" s="219"/>
      <c r="M20" s="227" t="s">
        <v>333</v>
      </c>
      <c r="N20" s="228"/>
      <c r="O20" s="229">
        <v>393241.03072572837</v>
      </c>
      <c r="P20" s="230"/>
      <c r="Q20" s="217"/>
      <c r="R20" s="179"/>
      <c r="S20" s="179"/>
      <c r="T20" s="179"/>
      <c r="U20" s="179"/>
      <c r="V20" s="179"/>
      <c r="W20" s="179"/>
      <c r="X20" s="179"/>
    </row>
    <row r="21" spans="1:24" ht="16.5" thickBot="1" x14ac:dyDescent="0.3">
      <c r="A21" s="201"/>
      <c r="B21" s="191" t="s">
        <v>194</v>
      </c>
      <c r="C21" s="190">
        <f>'Totals and MOU%s'!C11*'Locality Look-Up Tool'!$C$5*0.01</f>
        <v>18614.293775722661</v>
      </c>
      <c r="D21" s="190">
        <f>'Totals and MOU%s'!D11*'Locality Look-Up Tool'!$C$5*0.01</f>
        <v>0</v>
      </c>
      <c r="E21" s="190">
        <f t="shared" si="0"/>
        <v>18614.293775722661</v>
      </c>
      <c r="F21" s="209"/>
      <c r="G21" s="192"/>
      <c r="H21" s="192"/>
      <c r="I21" s="206"/>
      <c r="J21" s="185"/>
      <c r="K21" s="185"/>
      <c r="L21" s="219"/>
      <c r="M21" s="231"/>
      <c r="N21" s="239" t="s">
        <v>348</v>
      </c>
      <c r="O21" s="233"/>
      <c r="P21" s="243">
        <f>O20</f>
        <v>393241.03072572837</v>
      </c>
      <c r="Q21" s="218"/>
      <c r="R21" s="179"/>
      <c r="S21" s="179"/>
      <c r="T21" s="179"/>
      <c r="U21" s="179"/>
      <c r="V21" s="179"/>
      <c r="W21" s="179"/>
      <c r="X21" s="179"/>
    </row>
    <row r="22" spans="1:24" ht="17.45" customHeight="1" x14ac:dyDescent="0.25">
      <c r="A22" s="201"/>
      <c r="B22" s="191" t="s">
        <v>195</v>
      </c>
      <c r="C22" s="190">
        <f>'Totals and MOU%s'!C12*'Locality Look-Up Tool'!$C$5*0.01</f>
        <v>18614.293775544123</v>
      </c>
      <c r="D22" s="190">
        <f>'Totals and MOU%s'!D12*'Locality Look-Up Tool'!$C$5*0.01</f>
        <v>0</v>
      </c>
      <c r="E22" s="190">
        <f t="shared" si="0"/>
        <v>18614.293775544123</v>
      </c>
      <c r="F22" s="209"/>
      <c r="G22" s="192"/>
      <c r="H22" s="192"/>
      <c r="I22" s="206"/>
      <c r="J22" s="185"/>
      <c r="K22" s="185"/>
      <c r="L22" s="219"/>
      <c r="N22" s="218"/>
      <c r="O22" s="218"/>
      <c r="P22" s="218"/>
      <c r="Q22" s="218"/>
      <c r="R22" s="179"/>
      <c r="S22" s="179"/>
      <c r="T22" s="179"/>
      <c r="U22" s="179"/>
      <c r="V22" s="179"/>
      <c r="W22" s="179"/>
      <c r="X22" s="179"/>
    </row>
    <row r="23" spans="1:24" ht="15.6" customHeight="1" x14ac:dyDescent="0.25">
      <c r="A23" s="201"/>
      <c r="B23" s="191" t="s">
        <v>196</v>
      </c>
      <c r="C23" s="190">
        <f>'Totals and MOU%s'!C13*'Locality Look-Up Tool'!$C$5*0.01</f>
        <v>18614.29377536559</v>
      </c>
      <c r="D23" s="190">
        <f>'Totals and MOU%s'!D13*'Locality Look-Up Tool'!$C$5*0.01</f>
        <v>2857.368869336784</v>
      </c>
      <c r="E23" s="190">
        <f t="shared" si="0"/>
        <v>21471.662644702374</v>
      </c>
      <c r="F23" s="209"/>
      <c r="G23" s="192"/>
      <c r="H23" s="192"/>
      <c r="I23" s="206"/>
      <c r="J23" s="185"/>
      <c r="K23" s="185"/>
      <c r="L23" s="219"/>
      <c r="M23" s="223" t="s">
        <v>346</v>
      </c>
      <c r="N23" s="179"/>
      <c r="O23" s="179"/>
      <c r="P23" s="179"/>
      <c r="Q23" s="218"/>
      <c r="R23" s="179"/>
      <c r="S23" s="179"/>
      <c r="T23" s="179"/>
      <c r="U23" s="179"/>
      <c r="V23" s="179"/>
      <c r="W23" s="179"/>
      <c r="X23" s="179"/>
    </row>
    <row r="24" spans="1:24" x14ac:dyDescent="0.25">
      <c r="A24" s="201"/>
      <c r="B24" s="191" t="s">
        <v>197</v>
      </c>
      <c r="C24" s="190">
        <f>'Totals and MOU%s'!C14*'Locality Look-Up Tool'!$C$5*0.01</f>
        <v>18614.29377536559</v>
      </c>
      <c r="D24" s="190">
        <f>'Totals and MOU%s'!D14*'Locality Look-Up Tool'!$C$5*0.01</f>
        <v>2857.3688514833043</v>
      </c>
      <c r="E24" s="190">
        <f t="shared" si="0"/>
        <v>21471.662626848894</v>
      </c>
      <c r="F24" s="209"/>
      <c r="G24" s="192"/>
      <c r="H24" s="192"/>
      <c r="I24" s="206"/>
      <c r="J24" s="185"/>
      <c r="K24" s="185"/>
      <c r="L24" s="219"/>
      <c r="M24" s="244" t="s">
        <v>352</v>
      </c>
      <c r="N24" s="244"/>
      <c r="O24" s="244"/>
      <c r="P24" s="244"/>
      <c r="Q24" s="218"/>
      <c r="R24" s="179"/>
      <c r="S24" s="179"/>
      <c r="T24" s="179"/>
      <c r="U24" s="179"/>
      <c r="V24" s="179"/>
      <c r="W24" s="179"/>
      <c r="X24" s="179"/>
    </row>
    <row r="25" spans="1:24" ht="16.5" thickBot="1" x14ac:dyDescent="0.3">
      <c r="A25" s="201"/>
      <c r="B25" s="191" t="s">
        <v>198</v>
      </c>
      <c r="C25" s="190">
        <f>'Totals and MOU%s'!C15*'Locality Look-Up Tool'!$C$5*0.01</f>
        <v>21892.652169007786</v>
      </c>
      <c r="D25" s="190">
        <f>'Totals and MOU%s'!D15*'Locality Look-Up Tool'!$C$5*0.01</f>
        <v>2857.3688157763445</v>
      </c>
      <c r="E25" s="190">
        <f t="shared" si="0"/>
        <v>24750.020984784132</v>
      </c>
      <c r="F25" s="209"/>
      <c r="G25" s="192"/>
      <c r="H25" s="192"/>
      <c r="I25" s="206"/>
      <c r="J25" s="185"/>
      <c r="K25" s="185"/>
      <c r="L25" s="219"/>
      <c r="M25" s="245"/>
      <c r="N25" s="245"/>
      <c r="O25" s="245"/>
      <c r="P25" s="245"/>
      <c r="Q25" s="218"/>
      <c r="R25" s="179"/>
      <c r="S25" s="179"/>
      <c r="T25" s="179"/>
      <c r="U25" s="179"/>
      <c r="V25" s="179"/>
      <c r="W25" s="179"/>
      <c r="X25" s="179"/>
    </row>
    <row r="26" spans="1:24" ht="16.5" thickBot="1" x14ac:dyDescent="0.3">
      <c r="A26" s="201"/>
      <c r="B26" s="191" t="s">
        <v>199</v>
      </c>
      <c r="C26" s="190">
        <f>'Totals and MOU%s'!C16*'Locality Look-Up Tool'!$C$5*0.01</f>
        <v>21892.652169007786</v>
      </c>
      <c r="D26" s="190">
        <f>'Totals and MOU%s'!D16*'Locality Look-Up Tool'!$C$5*0.01</f>
        <v>3637.9303520998401</v>
      </c>
      <c r="E26" s="190">
        <f t="shared" si="0"/>
        <v>25530.582521107626</v>
      </c>
      <c r="F26" s="209"/>
      <c r="G26" s="192"/>
      <c r="H26" s="192"/>
      <c r="I26" s="206"/>
      <c r="J26" s="185"/>
      <c r="K26" s="185"/>
      <c r="L26" s="219"/>
      <c r="M26" s="225" t="s">
        <v>332</v>
      </c>
      <c r="N26" s="226"/>
      <c r="O26" s="240" t="s">
        <v>330</v>
      </c>
      <c r="P26" s="241" t="s">
        <v>331</v>
      </c>
      <c r="Q26" s="218"/>
      <c r="R26" s="179"/>
      <c r="S26" s="179"/>
      <c r="T26" s="179"/>
      <c r="U26" s="179"/>
      <c r="V26" s="179"/>
      <c r="W26" s="179"/>
      <c r="X26" s="179"/>
    </row>
    <row r="27" spans="1:24" ht="16.5" thickBot="1" x14ac:dyDescent="0.3">
      <c r="A27" s="201"/>
      <c r="B27" s="191" t="s">
        <v>200</v>
      </c>
      <c r="C27" s="190">
        <f>'Totals and MOU%s'!C17*'Locality Look-Up Tool'!$C$5*0.01</f>
        <v>21892.652169007786</v>
      </c>
      <c r="D27" s="190">
        <f>'Totals and MOU%s'!D17*'Locality Look-Up Tool'!$C$5*0.01</f>
        <v>3637.9303699533193</v>
      </c>
      <c r="E27" s="190">
        <f t="shared" si="0"/>
        <v>25530.582538961105</v>
      </c>
      <c r="F27" s="209"/>
      <c r="G27" s="192"/>
      <c r="H27" s="192"/>
      <c r="I27" s="206"/>
      <c r="J27" s="185"/>
      <c r="K27" s="185"/>
      <c r="L27" s="219"/>
      <c r="M27" s="238" t="s">
        <v>348</v>
      </c>
      <c r="N27" s="234"/>
      <c r="O27" s="229">
        <v>393241.03072572837</v>
      </c>
      <c r="P27" s="235"/>
      <c r="Q27" s="218"/>
      <c r="R27" s="179"/>
      <c r="S27" s="179"/>
      <c r="T27" s="179"/>
      <c r="U27" s="179"/>
      <c r="V27" s="179"/>
      <c r="W27" s="179"/>
      <c r="X27" s="179"/>
    </row>
    <row r="28" spans="1:24" ht="16.5" thickBot="1" x14ac:dyDescent="0.3">
      <c r="A28" s="201"/>
      <c r="B28" s="191" t="s">
        <v>201</v>
      </c>
      <c r="C28" s="190">
        <f>'Totals and MOU%s'!C18*'Locality Look-Up Tool'!$C$5*0.01</f>
        <v>18402.98358499142</v>
      </c>
      <c r="D28" s="190">
        <f>'Totals and MOU%s'!D18*'Locality Look-Up Tool'!$C$5*0.01</f>
        <v>3637.9303520998401</v>
      </c>
      <c r="E28" s="190">
        <f t="shared" si="0"/>
        <v>22040.91393709126</v>
      </c>
      <c r="F28" s="209"/>
      <c r="G28" s="192"/>
      <c r="H28" s="192"/>
      <c r="I28" s="206"/>
      <c r="J28" s="185"/>
      <c r="K28" s="185"/>
      <c r="L28" s="219"/>
      <c r="M28" s="231"/>
      <c r="N28" s="232" t="s">
        <v>218</v>
      </c>
      <c r="O28" s="233"/>
      <c r="P28" s="243">
        <f>O27</f>
        <v>393241.03072572837</v>
      </c>
      <c r="Q28" s="218"/>
      <c r="R28" s="179"/>
      <c r="S28" s="179"/>
      <c r="T28" s="179"/>
      <c r="U28" s="179"/>
      <c r="V28" s="179"/>
      <c r="W28" s="179"/>
      <c r="X28" s="179"/>
    </row>
    <row r="29" spans="1:24" x14ac:dyDescent="0.25">
      <c r="A29" s="201"/>
      <c r="B29" s="191" t="s">
        <v>202</v>
      </c>
      <c r="C29" s="190">
        <f>'Totals and MOU%s'!C19*'Locality Look-Up Tool'!$C$5*0.01</f>
        <v>18402.98358499142</v>
      </c>
      <c r="D29" s="190">
        <f>'Totals and MOU%s'!D19*'Locality Look-Up Tool'!$C$5*0.01</f>
        <v>0</v>
      </c>
      <c r="E29" s="190">
        <f t="shared" si="0"/>
        <v>18402.98358499142</v>
      </c>
      <c r="F29" s="209"/>
      <c r="G29" s="192"/>
      <c r="H29" s="192"/>
      <c r="I29" s="206"/>
      <c r="J29" s="185"/>
      <c r="K29" s="185"/>
      <c r="L29" s="185"/>
      <c r="Q29" s="179"/>
      <c r="R29" s="179"/>
      <c r="S29" s="179"/>
      <c r="T29" s="179"/>
      <c r="U29" s="179"/>
      <c r="V29" s="179"/>
      <c r="W29" s="179"/>
      <c r="X29" s="179"/>
    </row>
    <row r="30" spans="1:24" x14ac:dyDescent="0.25">
      <c r="A30" s="201"/>
      <c r="B30" s="191" t="s">
        <v>203</v>
      </c>
      <c r="C30" s="190">
        <f>'Totals and MOU%s'!C20*'Locality Look-Up Tool'!$C$5*0.01</f>
        <v>18402.98358499142</v>
      </c>
      <c r="D30" s="190">
        <f>'Totals and MOU%s'!D20*'Locality Look-Up Tool'!$C$5*0.01</f>
        <v>0</v>
      </c>
      <c r="E30" s="190">
        <f t="shared" si="0"/>
        <v>18402.98358499142</v>
      </c>
      <c r="F30" s="209"/>
      <c r="G30" s="192"/>
      <c r="H30" s="192"/>
      <c r="I30" s="206"/>
      <c r="J30" s="185"/>
      <c r="K30" s="185"/>
      <c r="L30" s="185"/>
      <c r="Q30" s="179"/>
      <c r="R30" s="179"/>
      <c r="S30" s="179"/>
      <c r="T30" s="179"/>
      <c r="U30" s="179"/>
      <c r="V30" s="179"/>
      <c r="W30" s="179"/>
      <c r="X30" s="179"/>
    </row>
    <row r="31" spans="1:24" x14ac:dyDescent="0.25">
      <c r="A31" s="201"/>
      <c r="B31" s="191" t="s">
        <v>204</v>
      </c>
      <c r="C31" s="190">
        <f>'Totals and MOU%s'!C21*'Locality Look-Up Tool'!$C$5*0.01</f>
        <v>18402.98358499142</v>
      </c>
      <c r="D31" s="190">
        <f>'Totals and MOU%s'!D21*'Locality Look-Up Tool'!$C$5*0.01</f>
        <v>0</v>
      </c>
      <c r="E31" s="190">
        <f t="shared" si="0"/>
        <v>18402.98358499142</v>
      </c>
      <c r="F31" s="209"/>
      <c r="G31" s="192"/>
      <c r="H31" s="192"/>
      <c r="I31" s="206"/>
      <c r="J31" s="185"/>
      <c r="K31" s="185"/>
      <c r="L31" s="185"/>
      <c r="M31" s="236"/>
      <c r="N31" s="236"/>
      <c r="O31" s="236"/>
      <c r="P31" s="236"/>
      <c r="Q31" s="179"/>
      <c r="R31" s="179"/>
      <c r="S31" s="179"/>
      <c r="T31" s="179"/>
      <c r="U31" s="179"/>
      <c r="V31" s="179"/>
      <c r="W31" s="179"/>
      <c r="X31" s="179"/>
    </row>
    <row r="32" spans="1:24" x14ac:dyDescent="0.25">
      <c r="A32" s="201"/>
      <c r="B32" s="191" t="s">
        <v>205</v>
      </c>
      <c r="C32" s="190">
        <f>'Totals and MOU%s'!C22*'Locality Look-Up Tool'!$C$5*0.01</f>
        <v>18402.98358499142</v>
      </c>
      <c r="D32" s="190">
        <f>'Totals and MOU%s'!D22*'Locality Look-Up Tool'!$C$5*0.01</f>
        <v>0</v>
      </c>
      <c r="E32" s="190">
        <f t="shared" si="0"/>
        <v>18402.98358499142</v>
      </c>
      <c r="F32" s="209"/>
      <c r="G32" s="192"/>
      <c r="H32" s="192"/>
      <c r="I32" s="206"/>
      <c r="J32" s="185"/>
      <c r="K32" s="185"/>
      <c r="L32" s="185"/>
      <c r="M32" s="236"/>
      <c r="N32" s="236"/>
      <c r="O32" s="236"/>
      <c r="P32" s="236"/>
      <c r="Q32" s="179"/>
      <c r="R32" s="179"/>
      <c r="S32" s="179"/>
      <c r="T32" s="179"/>
      <c r="U32" s="179"/>
      <c r="V32" s="179"/>
      <c r="W32" s="179"/>
      <c r="X32" s="179"/>
    </row>
    <row r="33" spans="1:24" x14ac:dyDescent="0.25">
      <c r="A33" s="201"/>
      <c r="B33" s="191" t="s">
        <v>206</v>
      </c>
      <c r="C33" s="190">
        <f>'Totals and MOU%s'!C23*'Locality Look-Up Tool'!$C$5*0.01</f>
        <v>18402.98358499142</v>
      </c>
      <c r="D33" s="190">
        <f>'Totals and MOU%s'!D23*'Locality Look-Up Tool'!$C$5*0.01</f>
        <v>0</v>
      </c>
      <c r="E33" s="190">
        <f t="shared" si="0"/>
        <v>18402.98358499142</v>
      </c>
      <c r="F33" s="209"/>
      <c r="G33" s="192"/>
      <c r="H33" s="192"/>
      <c r="I33" s="206"/>
      <c r="J33" s="185"/>
      <c r="K33" s="185"/>
      <c r="L33" s="185"/>
      <c r="M33" s="185"/>
      <c r="N33" s="185"/>
      <c r="O33" s="179"/>
      <c r="P33" s="179"/>
      <c r="Q33" s="179"/>
      <c r="R33" s="179"/>
      <c r="S33" s="179"/>
      <c r="T33" s="179"/>
      <c r="U33" s="179"/>
      <c r="V33" s="179"/>
      <c r="W33" s="179"/>
      <c r="X33" s="179"/>
    </row>
    <row r="34" spans="1:24" x14ac:dyDescent="0.25">
      <c r="A34" s="201"/>
      <c r="B34" s="191" t="s">
        <v>207</v>
      </c>
      <c r="C34" s="190">
        <f>'Totals and MOU%s'!C24*'Locality Look-Up Tool'!$C$5*0.01</f>
        <v>18402.98358499142</v>
      </c>
      <c r="D34" s="190">
        <f>'Totals and MOU%s'!D24*'Locality Look-Up Tool'!$C$5*0.01</f>
        <v>0</v>
      </c>
      <c r="E34" s="190">
        <f t="shared" si="0"/>
        <v>18402.98358499142</v>
      </c>
      <c r="F34" s="209"/>
      <c r="G34" s="192"/>
      <c r="H34" s="192"/>
      <c r="I34" s="206"/>
      <c r="J34" s="185"/>
      <c r="K34" s="185"/>
      <c r="L34" s="185"/>
      <c r="M34" s="185"/>
      <c r="N34" s="185"/>
      <c r="O34" s="179"/>
      <c r="P34" s="179"/>
      <c r="Q34" s="179"/>
      <c r="R34" s="179"/>
      <c r="S34" s="179"/>
      <c r="T34" s="179"/>
      <c r="U34" s="179"/>
      <c r="V34" s="179"/>
      <c r="W34" s="179"/>
      <c r="X34" s="179"/>
    </row>
    <row r="35" spans="1:24" ht="16.5" thickBot="1" x14ac:dyDescent="0.3">
      <c r="A35" s="201"/>
      <c r="B35" s="191" t="s">
        <v>208</v>
      </c>
      <c r="C35" s="190">
        <f>'Totals and MOU%s'!C25*'Locality Look-Up Tool'!$C$5*0.01</f>
        <v>18402.98358499142</v>
      </c>
      <c r="D35" s="190">
        <f>'Totals and MOU%s'!D25*'Locality Look-Up Tool'!$C$5*0.01</f>
        <v>0</v>
      </c>
      <c r="E35" s="190">
        <f t="shared" si="0"/>
        <v>18402.98358499142</v>
      </c>
      <c r="F35" s="209"/>
      <c r="G35" s="192"/>
      <c r="H35" s="192"/>
      <c r="I35" s="206"/>
      <c r="J35" s="185"/>
      <c r="K35" s="185"/>
      <c r="L35" s="185"/>
      <c r="M35" s="185"/>
      <c r="N35" s="185"/>
      <c r="O35" s="179"/>
      <c r="P35" s="179"/>
      <c r="Q35" s="179"/>
      <c r="R35" s="179"/>
      <c r="S35" s="179"/>
      <c r="T35" s="179"/>
      <c r="U35" s="179"/>
      <c r="V35" s="179"/>
      <c r="W35" s="179"/>
      <c r="X35" s="179"/>
    </row>
    <row r="36" spans="1:24" ht="16.5" thickBot="1" x14ac:dyDescent="0.3">
      <c r="A36" s="182"/>
      <c r="B36" s="193" t="s">
        <v>11</v>
      </c>
      <c r="C36" s="194">
        <f t="shared" ref="C36:F36" si="1">SUM(C18:C35)</f>
        <v>331253.70451484865</v>
      </c>
      <c r="D36" s="194">
        <f t="shared" si="1"/>
        <v>76138.223682103926</v>
      </c>
      <c r="E36" s="194">
        <f t="shared" si="1"/>
        <v>407391.92819695262</v>
      </c>
      <c r="F36" s="195">
        <f t="shared" si="1"/>
        <v>0</v>
      </c>
      <c r="G36" s="210"/>
      <c r="H36" s="210"/>
      <c r="I36" s="211"/>
      <c r="J36" s="185"/>
      <c r="K36" s="185"/>
      <c r="L36" s="185"/>
      <c r="M36" s="185"/>
      <c r="N36" s="185"/>
      <c r="O36" s="179"/>
      <c r="P36" s="179"/>
      <c r="Q36" s="179"/>
      <c r="R36" s="179"/>
      <c r="S36" s="179"/>
      <c r="T36" s="179"/>
      <c r="U36" s="179"/>
      <c r="V36" s="179"/>
      <c r="W36" s="179"/>
      <c r="X36" s="179"/>
    </row>
    <row r="37" spans="1:24" x14ac:dyDescent="0.25">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row>
    <row r="38" spans="1:24" x14ac:dyDescent="0.25">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row>
    <row r="39" spans="1:24" x14ac:dyDescent="0.25">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row>
    <row r="40" spans="1:24" x14ac:dyDescent="0.2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row>
    <row r="41" spans="1:24" x14ac:dyDescent="0.25">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row>
    <row r="42" spans="1:24" x14ac:dyDescent="0.25">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row>
    <row r="43" spans="1:24" x14ac:dyDescent="0.25">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row>
    <row r="44" spans="1:24" x14ac:dyDescent="0.25">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row>
    <row r="45" spans="1:24" x14ac:dyDescent="0.2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row>
    <row r="46" spans="1:24" x14ac:dyDescent="0.25">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row>
    <row r="47" spans="1:24" x14ac:dyDescent="0.25">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row>
    <row r="48" spans="1:24" x14ac:dyDescent="0.25">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row>
    <row r="49" spans="1:24" x14ac:dyDescent="0.25">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row>
    <row r="50" spans="1:24" x14ac:dyDescent="0.25">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row>
    <row r="51" spans="1:24" x14ac:dyDescent="0.25">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row>
    <row r="52" spans="1:24" x14ac:dyDescent="0.25">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row>
    <row r="53" spans="1:24" x14ac:dyDescent="0.25">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row>
    <row r="54" spans="1:24" x14ac:dyDescent="0.25">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row>
    <row r="55" spans="1:24" x14ac:dyDescent="0.25">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row>
    <row r="56" spans="1:24" x14ac:dyDescent="0.2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sheetData>
  <sheetProtection algorithmName="SHA-512" hashValue="Q9XZvQEn0s1wQk+53zXbn2wYr3HUAsnVN2/701caQPYc2Oe82ZONFXI7aUZpezUkvnvANulEWSE6H/5Ek9HCQQ==" saltValue="XKPbm/E939FgMka4VwpM5w==" spinCount="100000" sheet="1" formatCells="0" formatColumns="0" formatRows="0" sort="0" autoFilter="0" pivotTables="0"/>
  <mergeCells count="11">
    <mergeCell ref="M24:P25"/>
    <mergeCell ref="M17:P18"/>
    <mergeCell ref="M8:P9"/>
    <mergeCell ref="M11:P12"/>
    <mergeCell ref="A1:P1"/>
    <mergeCell ref="B16:F16"/>
    <mergeCell ref="B3:C3"/>
    <mergeCell ref="B15:F15"/>
    <mergeCell ref="E3:H3"/>
    <mergeCell ref="E4:H7"/>
    <mergeCell ref="B8:G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93DF29-B9C2-4D88-8232-DB1645AD18DA}">
          <x14:formula1>
            <xm:f>'Totals and MOU%s'!$I$7:$I$139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18D6-9629-402A-8966-37AD19BD2501}">
  <sheetPr>
    <tabColor rgb="FF0070C0"/>
  </sheetPr>
  <dimension ref="A1:Q142"/>
  <sheetViews>
    <sheetView zoomScale="90" zoomScaleNormal="90" workbookViewId="0"/>
  </sheetViews>
  <sheetFormatPr defaultRowHeight="15.75" x14ac:dyDescent="0.25"/>
  <cols>
    <col min="2" max="6" width="20.625" customWidth="1"/>
    <col min="7" max="7" width="4.5" customWidth="1"/>
    <col min="8" max="8" width="4.875" customWidth="1"/>
    <col min="9" max="9" width="18.625" style="110" customWidth="1"/>
    <col min="10" max="10" width="35.125" style="110" customWidth="1"/>
    <col min="11" max="11" width="21.5" customWidth="1"/>
    <col min="12" max="12" width="13.375" bestFit="1" customWidth="1"/>
  </cols>
  <sheetData>
    <row r="1" spans="1:17" x14ac:dyDescent="0.25">
      <c r="A1" s="88" t="s">
        <v>336</v>
      </c>
    </row>
    <row r="2" spans="1:17" s="110" customFormat="1" ht="99.6" customHeight="1" x14ac:dyDescent="0.25">
      <c r="A2" s="111">
        <v>1</v>
      </c>
      <c r="B2" s="282" t="s">
        <v>337</v>
      </c>
      <c r="C2" s="282"/>
      <c r="D2" s="282"/>
      <c r="E2" s="282"/>
      <c r="F2" s="282"/>
      <c r="G2" s="282"/>
      <c r="H2" s="282"/>
      <c r="I2" s="282"/>
      <c r="J2" s="282"/>
      <c r="K2" s="113"/>
      <c r="L2" s="113"/>
      <c r="M2" s="113"/>
      <c r="N2" s="113"/>
      <c r="O2" s="113"/>
      <c r="P2" s="113"/>
      <c r="Q2" s="113"/>
    </row>
    <row r="3" spans="1:17" s="110" customFormat="1" ht="69" customHeight="1" x14ac:dyDescent="0.25">
      <c r="A3" s="111">
        <v>2</v>
      </c>
      <c r="B3" s="283" t="s">
        <v>335</v>
      </c>
      <c r="C3" s="283"/>
      <c r="D3" s="283"/>
      <c r="E3" s="283"/>
      <c r="F3" s="283"/>
      <c r="G3" s="283"/>
      <c r="H3" s="283"/>
      <c r="I3" s="283"/>
      <c r="J3" s="283"/>
      <c r="K3" s="109"/>
    </row>
    <row r="4" spans="1:17" s="110" customFormat="1" ht="18" customHeight="1" x14ac:dyDescent="0.25">
      <c r="B4" s="107"/>
      <c r="C4" s="108"/>
      <c r="D4" s="107"/>
      <c r="E4" s="107"/>
      <c r="F4" s="107"/>
      <c r="G4" s="107"/>
      <c r="H4" s="107"/>
      <c r="I4" s="109"/>
      <c r="J4" s="109"/>
      <c r="K4" s="109"/>
    </row>
    <row r="5" spans="1:17" ht="16.5" thickBot="1" x14ac:dyDescent="0.3">
      <c r="B5" s="112" t="s">
        <v>334</v>
      </c>
      <c r="C5" s="20"/>
      <c r="D5" s="20"/>
      <c r="E5" s="20"/>
      <c r="F5" s="20"/>
      <c r="G5" s="20"/>
      <c r="H5" s="20"/>
      <c r="I5" s="139"/>
      <c r="J5" s="139"/>
      <c r="K5" s="19"/>
    </row>
    <row r="6" spans="1:17" ht="61.15" customHeight="1" thickBot="1" x14ac:dyDescent="0.3">
      <c r="B6" s="273" t="s">
        <v>188</v>
      </c>
      <c r="C6" s="274"/>
      <c r="D6" s="274"/>
      <c r="E6" s="274"/>
      <c r="F6" s="275"/>
      <c r="I6" s="105" t="s">
        <v>179</v>
      </c>
      <c r="J6" s="106" t="s">
        <v>180</v>
      </c>
      <c r="K6" s="83" t="s">
        <v>326</v>
      </c>
      <c r="L6" s="83" t="s">
        <v>322</v>
      </c>
    </row>
    <row r="7" spans="1:17" s="13" customFormat="1" ht="19.5" customHeight="1" thickBot="1" x14ac:dyDescent="0.3">
      <c r="B7" s="17" t="s">
        <v>190</v>
      </c>
      <c r="C7" s="116" t="s">
        <v>183</v>
      </c>
      <c r="D7" s="116" t="s">
        <v>181</v>
      </c>
      <c r="E7" s="104" t="s">
        <v>182</v>
      </c>
      <c r="F7" s="18" t="s">
        <v>11</v>
      </c>
      <c r="I7" s="119" t="s">
        <v>12</v>
      </c>
      <c r="J7" s="120">
        <v>3.480034800348E-3</v>
      </c>
      <c r="K7" s="96">
        <f>_xlfn.XLOOKUP(I7,'Local allocations'!$A$7:$A$139,'Local allocations'!$N$7:$N$139)</f>
        <v>3.4800299999999998E-3</v>
      </c>
      <c r="L7" s="97">
        <f>Table5[[#This Row],[Locality''s Allocation Percentage ]]-K7</f>
        <v>4.8003480001765353E-9</v>
      </c>
    </row>
    <row r="8" spans="1:17" s="13" customFormat="1" ht="18" customHeight="1" x14ac:dyDescent="0.25">
      <c r="B8" s="15" t="s">
        <v>191</v>
      </c>
      <c r="C8" s="121">
        <f>C37*0.225</f>
        <v>4066309.1845544642</v>
      </c>
      <c r="D8" s="121">
        <v>0</v>
      </c>
      <c r="E8" s="73">
        <v>0</v>
      </c>
      <c r="F8" s="10">
        <f>SUM(C8:E8)</f>
        <v>4066309.1845544642</v>
      </c>
      <c r="H8" s="22"/>
      <c r="I8" s="123" t="s">
        <v>13</v>
      </c>
      <c r="J8" s="124">
        <v>8.6300863008630102E-3</v>
      </c>
      <c r="K8" s="96">
        <f>_xlfn.XLOOKUP(I8,'Local allocations'!$A$7:$A$139,'Local allocations'!$N$7:$N$139)</f>
        <v>8.63009E-3</v>
      </c>
      <c r="L8" s="97">
        <f>Table5[[#This Row],[Locality''s Allocation Percentage ]]-K8</f>
        <v>-3.6991369897765303E-9</v>
      </c>
    </row>
    <row r="9" spans="1:17" s="13" customFormat="1" ht="18" customHeight="1" x14ac:dyDescent="0.25">
      <c r="B9" s="14" t="s">
        <v>192</v>
      </c>
      <c r="C9" s="125">
        <f t="shared" ref="C9:C25" si="0">C38*0.225</f>
        <v>4273492.7179029062</v>
      </c>
      <c r="D9" s="125">
        <f>D38*0.225</f>
        <v>16279241.249452248</v>
      </c>
      <c r="E9" s="73">
        <f>SUM(E37,E38)*0.0825</f>
        <v>9026982.4890335277</v>
      </c>
      <c r="F9" s="9">
        <f t="shared" ref="F9:F25" si="1">SUM(C9:E9)</f>
        <v>29579716.456388682</v>
      </c>
      <c r="H9" s="22"/>
      <c r="I9" s="123" t="s">
        <v>14</v>
      </c>
      <c r="J9" s="124">
        <v>1.1620116201162E-2</v>
      </c>
      <c r="K9" s="96">
        <f>_xlfn.XLOOKUP(I9,'Local allocations'!$A$7:$A$139,'Local allocations'!$N$7:$N$139)</f>
        <v>1.16201E-2</v>
      </c>
      <c r="L9" s="97">
        <f>Table5[[#This Row],[Locality''s Allocation Percentage ]]-K9</f>
        <v>1.6201162000503699E-8</v>
      </c>
    </row>
    <row r="10" spans="1:17" s="13" customFormat="1" ht="18" customHeight="1" x14ac:dyDescent="0.25">
      <c r="B10" s="14" t="s">
        <v>193</v>
      </c>
      <c r="C10" s="125">
        <f t="shared" si="0"/>
        <v>4273492.7179029062</v>
      </c>
      <c r="D10" s="125">
        <f t="shared" ref="D10:D24" si="2">D39*0.225</f>
        <v>0</v>
      </c>
      <c r="E10" s="73">
        <f>E39*0.0825</f>
        <v>1566947.3298977322</v>
      </c>
      <c r="F10" s="9">
        <f t="shared" si="1"/>
        <v>5840440.0478006387</v>
      </c>
      <c r="H10" s="22"/>
      <c r="I10" s="123" t="s">
        <v>15</v>
      </c>
      <c r="J10" s="124">
        <v>2.130021300213E-3</v>
      </c>
      <c r="K10" s="96">
        <f>_xlfn.XLOOKUP(I10,'Local allocations'!$A$7:$A$139,'Local allocations'!$N$7:$N$139)</f>
        <v>2.1300199999999998E-3</v>
      </c>
      <c r="L10" s="97">
        <f>Table5[[#This Row],[Locality''s Allocation Percentage ]]-K10</f>
        <v>1.3002130002000289E-9</v>
      </c>
    </row>
    <row r="11" spans="1:17" s="13" customFormat="1" ht="18" customHeight="1" x14ac:dyDescent="0.25">
      <c r="B11" s="14" t="s">
        <v>194</v>
      </c>
      <c r="C11" s="125">
        <f t="shared" si="0"/>
        <v>5348881.5036738273</v>
      </c>
      <c r="D11" s="125">
        <f t="shared" si="2"/>
        <v>0</v>
      </c>
      <c r="E11" s="73">
        <f>E40*0.0825</f>
        <v>1961256.5513470699</v>
      </c>
      <c r="F11" s="9">
        <f t="shared" si="1"/>
        <v>7310138.0550208967</v>
      </c>
      <c r="H11" s="22"/>
      <c r="I11" s="123" t="s">
        <v>16</v>
      </c>
      <c r="J11" s="124">
        <v>1.0000100001E-3</v>
      </c>
      <c r="K11" s="96">
        <f>_xlfn.XLOOKUP(I11,'Local allocations'!$A$7:$A$139,'Local allocations'!$N$7:$N$139)</f>
        <v>1.00001E-3</v>
      </c>
      <c r="L11" s="97">
        <f>Table5[[#This Row],[Locality''s Allocation Percentage ]]-K11</f>
        <v>1.0000008633659352E-13</v>
      </c>
    </row>
    <row r="12" spans="1:17" s="13" customFormat="1" ht="18" customHeight="1" x14ac:dyDescent="0.25">
      <c r="B12" s="14" t="s">
        <v>195</v>
      </c>
      <c r="C12" s="125">
        <f t="shared" si="0"/>
        <v>5348881.5036225244</v>
      </c>
      <c r="D12" s="125">
        <f t="shared" ref="D12:D18" si="3">D41*0.225</f>
        <v>0</v>
      </c>
      <c r="E12" s="73">
        <f t="shared" ref="E12:E25" si="4">E41*0.0825</f>
        <v>1961256.5513282591</v>
      </c>
      <c r="F12" s="9">
        <f t="shared" si="1"/>
        <v>7310138.054950783</v>
      </c>
      <c r="H12" s="22"/>
      <c r="I12" s="123" t="s">
        <v>17</v>
      </c>
      <c r="J12" s="124">
        <v>2.9900299002989998E-3</v>
      </c>
      <c r="K12" s="96">
        <f>_xlfn.XLOOKUP(I12,'Local allocations'!$A$7:$A$139,'Local allocations'!$N$7:$N$139)</f>
        <v>2.9900299999999999E-3</v>
      </c>
      <c r="L12" s="97">
        <f>Table5[[#This Row],[Locality''s Allocation Percentage ]]-K12</f>
        <v>-9.9701000060015144E-11</v>
      </c>
    </row>
    <row r="13" spans="1:17" s="13" customFormat="1" ht="18" customHeight="1" x14ac:dyDescent="0.25">
      <c r="B13" s="14" t="s">
        <v>196</v>
      </c>
      <c r="C13" s="125">
        <f t="shared" si="0"/>
        <v>5348881.5035712225</v>
      </c>
      <c r="D13" s="125">
        <f t="shared" si="3"/>
        <v>821074.79760002682</v>
      </c>
      <c r="E13" s="73">
        <f t="shared" si="4"/>
        <v>2262317.310429458</v>
      </c>
      <c r="F13" s="9">
        <f t="shared" si="1"/>
        <v>8432273.6116007082</v>
      </c>
      <c r="H13" s="22"/>
      <c r="I13" s="123" t="s">
        <v>18</v>
      </c>
      <c r="J13" s="124">
        <v>1.3300133001329999E-3</v>
      </c>
      <c r="K13" s="96">
        <f>_xlfn.XLOOKUP(I13,'Local allocations'!$A$7:$A$139,'Local allocations'!$N$7:$N$139)</f>
        <v>1.33001E-3</v>
      </c>
      <c r="L13" s="97">
        <f>Table5[[#This Row],[Locality''s Allocation Percentage ]]-K13</f>
        <v>3.3001329999889778E-9</v>
      </c>
    </row>
    <row r="14" spans="1:17" s="13" customFormat="1" ht="18" customHeight="1" x14ac:dyDescent="0.25">
      <c r="B14" s="14" t="s">
        <v>197</v>
      </c>
      <c r="C14" s="125">
        <f t="shared" si="0"/>
        <v>5348881.5035712225</v>
      </c>
      <c r="D14" s="125">
        <f t="shared" si="3"/>
        <v>821074.79246976785</v>
      </c>
      <c r="E14" s="73">
        <f t="shared" si="4"/>
        <v>2262317.3085483629</v>
      </c>
      <c r="F14" s="9">
        <f t="shared" si="1"/>
        <v>8432273.6045893542</v>
      </c>
      <c r="H14" s="22"/>
      <c r="I14" s="123" t="s">
        <v>19</v>
      </c>
      <c r="J14" s="124">
        <v>1.3780137801378E-2</v>
      </c>
      <c r="K14" s="96">
        <f>_xlfn.XLOOKUP(I14,'Local allocations'!$A$7:$A$139,'Local allocations'!$N$7:$N$139)</f>
        <v>1.37801E-2</v>
      </c>
      <c r="L14" s="97">
        <f>Table5[[#This Row],[Locality''s Allocation Percentage ]]-K14</f>
        <v>3.7801378000024144E-8</v>
      </c>
    </row>
    <row r="15" spans="1:17" s="13" customFormat="1" ht="18" customHeight="1" x14ac:dyDescent="0.25">
      <c r="B15" s="14" t="s">
        <v>198</v>
      </c>
      <c r="C15" s="125">
        <f t="shared" si="0"/>
        <v>6290929.0926684234</v>
      </c>
      <c r="D15" s="125">
        <f t="shared" si="3"/>
        <v>821074.7822092498</v>
      </c>
      <c r="E15" s="73">
        <f t="shared" si="4"/>
        <v>2607734.7541218135</v>
      </c>
      <c r="F15" s="9">
        <f t="shared" si="1"/>
        <v>9719738.6289994866</v>
      </c>
      <c r="H15" s="22"/>
      <c r="I15" s="123" t="s">
        <v>20</v>
      </c>
      <c r="J15" s="124">
        <v>8.3500835008350101E-3</v>
      </c>
      <c r="K15" s="96">
        <f>_xlfn.XLOOKUP(I15,'Local allocations'!$A$7:$A$139,'Local allocations'!$N$7:$N$139)</f>
        <v>8.3500799999999993E-3</v>
      </c>
      <c r="L15" s="97">
        <f>Table5[[#This Row],[Locality''s Allocation Percentage ]]-K15</f>
        <v>3.5008350107723629E-9</v>
      </c>
    </row>
    <row r="16" spans="1:17" s="13" customFormat="1" ht="18" customHeight="1" x14ac:dyDescent="0.25">
      <c r="B16" s="14" t="s">
        <v>199</v>
      </c>
      <c r="C16" s="125">
        <f t="shared" si="0"/>
        <v>6290929.0926684234</v>
      </c>
      <c r="D16" s="125">
        <f t="shared" si="3"/>
        <v>1045371.831263311</v>
      </c>
      <c r="E16" s="73">
        <f t="shared" si="4"/>
        <v>2689977.0054416358</v>
      </c>
      <c r="F16" s="9">
        <f t="shared" si="1"/>
        <v>10026277.92937337</v>
      </c>
      <c r="H16" s="22"/>
      <c r="I16" s="123" t="s">
        <v>21</v>
      </c>
      <c r="J16" s="124">
        <v>3.7000370003699998E-4</v>
      </c>
      <c r="K16" s="96">
        <f>_xlfn.XLOOKUP(I16,'Local allocations'!$A$7:$A$139,'Local allocations'!$N$7:$N$139)</f>
        <v>3.70004E-4</v>
      </c>
      <c r="L16" s="97">
        <f>Table5[[#This Row],[Locality''s Allocation Percentage ]]-K16</f>
        <v>-2.9996300002265233E-10</v>
      </c>
    </row>
    <row r="17" spans="2:12" s="13" customFormat="1" ht="18" customHeight="1" x14ac:dyDescent="0.25">
      <c r="B17" s="14" t="s">
        <v>200</v>
      </c>
      <c r="C17" s="125">
        <f t="shared" si="0"/>
        <v>6290929.0926684234</v>
      </c>
      <c r="D17" s="125">
        <f t="shared" si="3"/>
        <v>1045371.8363935698</v>
      </c>
      <c r="E17" s="73">
        <f t="shared" si="4"/>
        <v>2689977.0073227305</v>
      </c>
      <c r="F17" s="9">
        <f t="shared" si="1"/>
        <v>10026277.936384723</v>
      </c>
      <c r="H17" s="22"/>
      <c r="I17" s="123" t="s">
        <v>22</v>
      </c>
      <c r="J17" s="124">
        <v>7.7700777007770096E-3</v>
      </c>
      <c r="K17" s="96">
        <f>_xlfn.XLOOKUP(I17,'Local allocations'!$A$7:$A$139,'Local allocations'!$N$7:$N$139)</f>
        <v>7.7700800000000004E-3</v>
      </c>
      <c r="L17" s="97">
        <f>Table5[[#This Row],[Locality''s Allocation Percentage ]]-K17</f>
        <v>-2.2992229908175288E-9</v>
      </c>
    </row>
    <row r="18" spans="2:12" s="13" customFormat="1" ht="18" customHeight="1" x14ac:dyDescent="0.25">
      <c r="B18" s="14" t="s">
        <v>201</v>
      </c>
      <c r="C18" s="125">
        <f t="shared" si="0"/>
        <v>5288160.791711376</v>
      </c>
      <c r="D18" s="125">
        <f t="shared" si="3"/>
        <v>1045371.831263311</v>
      </c>
      <c r="E18" s="73">
        <f t="shared" si="4"/>
        <v>2322295.2950907187</v>
      </c>
      <c r="F18" s="9">
        <f t="shared" si="1"/>
        <v>8655827.9180654064</v>
      </c>
      <c r="H18" s="22"/>
      <c r="I18" s="123" t="s">
        <v>23</v>
      </c>
      <c r="J18" s="124">
        <v>1.470014700147E-3</v>
      </c>
      <c r="K18" s="96">
        <f>_xlfn.XLOOKUP(I18,'Local allocations'!$A$7:$A$139,'Local allocations'!$N$7:$N$139)</f>
        <v>1.4700099999999999E-3</v>
      </c>
      <c r="L18" s="97">
        <f>Table5[[#This Row],[Locality''s Allocation Percentage ]]-K18</f>
        <v>4.700147000118518E-9</v>
      </c>
    </row>
    <row r="19" spans="2:12" s="13" customFormat="1" ht="18" customHeight="1" x14ac:dyDescent="0.25">
      <c r="B19" s="14" t="s">
        <v>202</v>
      </c>
      <c r="C19" s="125">
        <f t="shared" si="0"/>
        <v>5288160.791711376</v>
      </c>
      <c r="D19" s="125">
        <f t="shared" si="2"/>
        <v>0</v>
      </c>
      <c r="E19" s="73">
        <f t="shared" si="4"/>
        <v>1938992.2902941711</v>
      </c>
      <c r="F19" s="9">
        <f t="shared" si="1"/>
        <v>7227153.0820055474</v>
      </c>
      <c r="H19" s="22"/>
      <c r="I19" s="123" t="s">
        <v>24</v>
      </c>
      <c r="J19" s="124">
        <v>3.6200362003620001E-3</v>
      </c>
      <c r="K19" s="96">
        <f>_xlfn.XLOOKUP(I19,'Local allocations'!$A$7:$A$139,'Local allocations'!$N$7:$N$139)</f>
        <v>3.6200400000000002E-3</v>
      </c>
      <c r="L19" s="97">
        <f>Table5[[#This Row],[Locality''s Allocation Percentage ]]-K19</f>
        <v>-3.7996380000682173E-9</v>
      </c>
    </row>
    <row r="20" spans="2:12" s="13" customFormat="1" ht="18" customHeight="1" x14ac:dyDescent="0.25">
      <c r="B20" s="14" t="s">
        <v>203</v>
      </c>
      <c r="C20" s="125">
        <f t="shared" si="0"/>
        <v>5288160.791711376</v>
      </c>
      <c r="D20" s="125">
        <f t="shared" si="2"/>
        <v>0</v>
      </c>
      <c r="E20" s="73">
        <f t="shared" si="4"/>
        <v>1938992.2902941711</v>
      </c>
      <c r="F20" s="9">
        <f t="shared" si="1"/>
        <v>7227153.0820055474</v>
      </c>
      <c r="H20" s="22"/>
      <c r="I20" s="123" t="s">
        <v>25</v>
      </c>
      <c r="J20" s="124">
        <v>4.3400434004340002E-3</v>
      </c>
      <c r="K20" s="96">
        <f>_xlfn.XLOOKUP(I20,'Local allocations'!$A$7:$A$139,'Local allocations'!$N$7:$N$139)</f>
        <v>4.3400399999999999E-3</v>
      </c>
      <c r="L20" s="97">
        <f>Table5[[#This Row],[Locality''s Allocation Percentage ]]-K20</f>
        <v>3.4004340003501721E-9</v>
      </c>
    </row>
    <row r="21" spans="2:12" s="13" customFormat="1" ht="18" customHeight="1" x14ac:dyDescent="0.25">
      <c r="B21" s="14" t="s">
        <v>204</v>
      </c>
      <c r="C21" s="125">
        <f t="shared" si="0"/>
        <v>5288160.791711376</v>
      </c>
      <c r="D21" s="125">
        <f t="shared" si="2"/>
        <v>0</v>
      </c>
      <c r="E21" s="73">
        <f t="shared" si="4"/>
        <v>1938992.2902941711</v>
      </c>
      <c r="F21" s="9">
        <f t="shared" si="1"/>
        <v>7227153.0820055474</v>
      </c>
      <c r="H21" s="22"/>
      <c r="I21" s="123" t="s">
        <v>26</v>
      </c>
      <c r="J21" s="124">
        <v>1.0700107001070001E-3</v>
      </c>
      <c r="K21" s="96">
        <f>_xlfn.XLOOKUP(I21,'Local allocations'!$A$7:$A$139,'Local allocations'!$N$7:$N$139)</f>
        <v>1.0700099999999999E-3</v>
      </c>
      <c r="L21" s="97">
        <f>Table5[[#This Row],[Locality''s Allocation Percentage ]]-K21</f>
        <v>7.0010700015110672E-10</v>
      </c>
    </row>
    <row r="22" spans="2:12" s="13" customFormat="1" ht="18" customHeight="1" x14ac:dyDescent="0.25">
      <c r="B22" s="14" t="s">
        <v>205</v>
      </c>
      <c r="C22" s="125">
        <f t="shared" si="0"/>
        <v>5288160.791711376</v>
      </c>
      <c r="D22" s="125">
        <f t="shared" si="2"/>
        <v>0</v>
      </c>
      <c r="E22" s="73">
        <f t="shared" si="4"/>
        <v>1938992.2902941711</v>
      </c>
      <c r="F22" s="9">
        <f t="shared" si="1"/>
        <v>7227153.0820055474</v>
      </c>
      <c r="H22" s="22"/>
      <c r="I22" s="123" t="s">
        <v>27</v>
      </c>
      <c r="J22" s="124">
        <v>9.29009290092901E-3</v>
      </c>
      <c r="K22" s="96">
        <f>_xlfn.XLOOKUP(I22,'Local allocations'!$A$7:$A$139,'Local allocations'!$N$7:$N$139)</f>
        <v>9.2900900000000008E-3</v>
      </c>
      <c r="L22" s="97">
        <f>Table5[[#This Row],[Locality''s Allocation Percentage ]]-K22</f>
        <v>2.9009290091613904E-9</v>
      </c>
    </row>
    <row r="23" spans="2:12" s="13" customFormat="1" ht="18" customHeight="1" x14ac:dyDescent="0.25">
      <c r="B23" s="14" t="s">
        <v>206</v>
      </c>
      <c r="C23" s="125">
        <f t="shared" si="0"/>
        <v>5288160.791711376</v>
      </c>
      <c r="D23" s="125">
        <f t="shared" si="2"/>
        <v>0</v>
      </c>
      <c r="E23" s="73">
        <f t="shared" si="4"/>
        <v>1938992.2902941711</v>
      </c>
      <c r="F23" s="9">
        <f t="shared" si="1"/>
        <v>7227153.0820055474</v>
      </c>
      <c r="H23" s="22"/>
      <c r="I23" s="123" t="s">
        <v>28</v>
      </c>
      <c r="J23" s="124">
        <v>1.270012700127E-3</v>
      </c>
      <c r="K23" s="96">
        <f>_xlfn.XLOOKUP(I23,'Local allocations'!$A$7:$A$139,'Local allocations'!$N$7:$N$139)</f>
        <v>1.27001E-3</v>
      </c>
      <c r="L23" s="97">
        <f>Table5[[#This Row],[Locality''s Allocation Percentage ]]-K23</f>
        <v>2.7001270000263922E-9</v>
      </c>
    </row>
    <row r="24" spans="2:12" s="13" customFormat="1" ht="18" customHeight="1" x14ac:dyDescent="0.25">
      <c r="B24" s="14" t="s">
        <v>207</v>
      </c>
      <c r="C24" s="125">
        <f t="shared" si="0"/>
        <v>5288160.791711376</v>
      </c>
      <c r="D24" s="125">
        <f t="shared" si="2"/>
        <v>0</v>
      </c>
      <c r="E24" s="73">
        <f t="shared" si="4"/>
        <v>1938992.2902941711</v>
      </c>
      <c r="F24" s="9">
        <f t="shared" si="1"/>
        <v>7227153.0820055474</v>
      </c>
      <c r="H24" s="22"/>
      <c r="I24" s="123" t="s">
        <v>29</v>
      </c>
      <c r="J24" s="124">
        <v>7.8000780007800004E-4</v>
      </c>
      <c r="K24" s="96">
        <f>_xlfn.XLOOKUP(I24,'Local allocations'!$A$7:$A$139,'Local allocations'!$N$7:$N$139)</f>
        <v>7.80008E-4</v>
      </c>
      <c r="L24" s="97">
        <f>Table5[[#This Row],[Locality''s Allocation Percentage ]]-K24</f>
        <v>-1.9992199996182736E-10</v>
      </c>
    </row>
    <row r="25" spans="2:12" s="13" customFormat="1" ht="18" customHeight="1" thickBot="1" x14ac:dyDescent="0.3">
      <c r="B25" s="14" t="s">
        <v>208</v>
      </c>
      <c r="C25" s="126">
        <f t="shared" si="0"/>
        <v>5288160.791711376</v>
      </c>
      <c r="D25" s="126">
        <v>0</v>
      </c>
      <c r="E25" s="73">
        <f t="shared" si="4"/>
        <v>1938992.2902941711</v>
      </c>
      <c r="F25" s="16">
        <f t="shared" si="1"/>
        <v>7227153.0820055474</v>
      </c>
      <c r="H25" s="22"/>
      <c r="I25" s="123" t="s">
        <v>30</v>
      </c>
      <c r="J25" s="124">
        <v>4.5600456004559996E-3</v>
      </c>
      <c r="K25" s="96">
        <f>_xlfn.XLOOKUP(I25,'Local allocations'!$A$7:$A$139,'Local allocations'!$N$7:$N$139)</f>
        <v>4.5600500000000004E-3</v>
      </c>
      <c r="L25" s="97">
        <f>Table5[[#This Row],[Locality''s Allocation Percentage ]]-K25</f>
        <v>-4.3995440008118281E-9</v>
      </c>
    </row>
    <row r="26" spans="2:12" s="13" customFormat="1" ht="18" customHeight="1" thickBot="1" x14ac:dyDescent="0.3">
      <c r="B26" s="12" t="s">
        <v>11</v>
      </c>
      <c r="C26" s="127">
        <f>SUM(C8:C25)</f>
        <v>95186894.246495351</v>
      </c>
      <c r="D26" s="127">
        <f>SUM(D8:D25)</f>
        <v>21878581.120651484</v>
      </c>
      <c r="E26" s="73">
        <f>SUM(E8:E25)</f>
        <v>42924007.634620503</v>
      </c>
      <c r="F26" s="21">
        <f>SUM(C26:E26)</f>
        <v>159989483.00176734</v>
      </c>
      <c r="H26" s="22"/>
      <c r="I26" s="123" t="s">
        <v>31</v>
      </c>
      <c r="J26" s="124">
        <v>3.1800318003180001E-3</v>
      </c>
      <c r="K26" s="96">
        <f>_xlfn.XLOOKUP(I26,'Local allocations'!$A$7:$A$139,'Local allocations'!$N$7:$N$139)</f>
        <v>3.1800299999999999E-3</v>
      </c>
      <c r="L26" s="97">
        <f>Table5[[#This Row],[Locality''s Allocation Percentage ]]-K26</f>
        <v>1.8003180001467667E-9</v>
      </c>
    </row>
    <row r="27" spans="2:12" s="13" customFormat="1" ht="18" customHeight="1" x14ac:dyDescent="0.25">
      <c r="B27" s="276" t="s">
        <v>327</v>
      </c>
      <c r="C27" s="277"/>
      <c r="D27" s="277"/>
      <c r="E27" s="277"/>
      <c r="F27" s="278"/>
      <c r="H27" s="22"/>
      <c r="I27" s="123" t="s">
        <v>32</v>
      </c>
      <c r="J27" s="124">
        <v>4.4000440004400001E-3</v>
      </c>
      <c r="K27" s="96">
        <f>_xlfn.XLOOKUP(I27,'Local allocations'!$A$7:$A$139,'Local allocations'!$N$7:$N$139)</f>
        <v>4.40004E-3</v>
      </c>
      <c r="L27" s="97">
        <f>Table5[[#This Row],[Locality''s Allocation Percentage ]]-K27</f>
        <v>4.0004400000959173E-9</v>
      </c>
    </row>
    <row r="28" spans="2:12" s="13" customFormat="1" ht="18" customHeight="1" x14ac:dyDescent="0.25">
      <c r="B28" s="276"/>
      <c r="C28" s="277"/>
      <c r="D28" s="277"/>
      <c r="E28" s="277"/>
      <c r="F28" s="278"/>
      <c r="H28" s="22"/>
      <c r="I28" s="123" t="s">
        <v>33</v>
      </c>
      <c r="J28" s="124">
        <v>7.3000730007300005E-4</v>
      </c>
      <c r="K28" s="96">
        <f>_xlfn.XLOOKUP(I28,'Local allocations'!$A$7:$A$139,'Local allocations'!$N$7:$N$139)</f>
        <v>7.3000699999999996E-4</v>
      </c>
      <c r="L28" s="97">
        <f>Table5[[#This Row],[Locality''s Allocation Percentage ]]-K28</f>
        <v>3.0007300008509652E-10</v>
      </c>
    </row>
    <row r="29" spans="2:12" s="13" customFormat="1" ht="18" customHeight="1" x14ac:dyDescent="0.25">
      <c r="B29" s="276"/>
      <c r="C29" s="277"/>
      <c r="D29" s="277"/>
      <c r="E29" s="277"/>
      <c r="F29" s="278"/>
      <c r="H29" s="22"/>
      <c r="I29" s="123" t="s">
        <v>34</v>
      </c>
      <c r="J29" s="124">
        <v>1.3800138001379999E-3</v>
      </c>
      <c r="K29" s="96">
        <f>_xlfn.XLOOKUP(I29,'Local allocations'!$A$7:$A$139,'Local allocations'!$N$7:$N$139)</f>
        <v>1.3800100000000001E-3</v>
      </c>
      <c r="L29" s="97">
        <f>Table5[[#This Row],[Locality''s Allocation Percentage ]]-K29</f>
        <v>3.8001379998493789E-9</v>
      </c>
    </row>
    <row r="30" spans="2:12" s="13" customFormat="1" ht="18" customHeight="1" x14ac:dyDescent="0.25">
      <c r="B30" s="276"/>
      <c r="C30" s="277"/>
      <c r="D30" s="277"/>
      <c r="E30" s="277"/>
      <c r="F30" s="278"/>
      <c r="H30" s="22"/>
      <c r="I30" s="123" t="s">
        <v>35</v>
      </c>
      <c r="J30" s="124">
        <v>4.6300463004629996E-3</v>
      </c>
      <c r="K30" s="96">
        <f>_xlfn.XLOOKUP(I30,'Local allocations'!$A$7:$A$139,'Local allocations'!$N$7:$N$139)</f>
        <v>4.6300500000000001E-3</v>
      </c>
      <c r="L30" s="97">
        <f>Table5[[#This Row],[Locality''s Allocation Percentage ]]-K30</f>
        <v>-3.6995370005302175E-9</v>
      </c>
    </row>
    <row r="31" spans="2:12" s="13" customFormat="1" ht="18" customHeight="1" thickBot="1" x14ac:dyDescent="0.3">
      <c r="B31" s="279"/>
      <c r="C31" s="280"/>
      <c r="D31" s="280"/>
      <c r="E31" s="280"/>
      <c r="F31" s="281"/>
      <c r="H31" s="22"/>
      <c r="I31" s="123" t="s">
        <v>36</v>
      </c>
      <c r="J31" s="124">
        <v>2.9120291202911999E-2</v>
      </c>
      <c r="K31" s="96">
        <f>_xlfn.XLOOKUP(I31,'Local allocations'!$A$7:$A$139,'Local allocations'!$N$7:$N$139)</f>
        <v>2.9120299999999998E-2</v>
      </c>
      <c r="L31" s="97">
        <f>Table5[[#This Row],[Locality''s Allocation Percentage ]]-K31</f>
        <v>-8.7970879990295625E-9</v>
      </c>
    </row>
    <row r="32" spans="2:12" s="13" customFormat="1" ht="18" customHeight="1" x14ac:dyDescent="0.25">
      <c r="I32" s="123" t="s">
        <v>37</v>
      </c>
      <c r="J32" s="124">
        <v>4.0880408804087998E-2</v>
      </c>
      <c r="K32" s="96">
        <f>_xlfn.XLOOKUP(I32,'Local allocations'!$A$7:$A$139,'Local allocations'!$N$7:$N$139)</f>
        <v>4.0880399999999997E-2</v>
      </c>
      <c r="L32" s="97">
        <f>Table5[[#This Row],[Locality''s Allocation Percentage ]]-K32</f>
        <v>8.8040880003026345E-9</v>
      </c>
    </row>
    <row r="33" spans="2:12" s="13" customFormat="1" ht="18" customHeight="1" thickBot="1" x14ac:dyDescent="0.3">
      <c r="I33" s="123" t="s">
        <v>38</v>
      </c>
      <c r="J33" s="124">
        <v>1.250012500125E-3</v>
      </c>
      <c r="K33" s="96">
        <f>_xlfn.XLOOKUP(I33,'Local allocations'!$A$7:$A$139,'Local allocations'!$N$7:$N$139)</f>
        <v>1.25001E-3</v>
      </c>
      <c r="L33" s="97">
        <f>Table5[[#This Row],[Locality''s Allocation Percentage ]]-K33</f>
        <v>2.5001250000388636E-9</v>
      </c>
    </row>
    <row r="34" spans="2:12" s="13" customFormat="1" ht="18" customHeight="1" x14ac:dyDescent="0.25">
      <c r="B34" s="267" t="s">
        <v>213</v>
      </c>
      <c r="C34" s="268"/>
      <c r="D34" s="268"/>
      <c r="E34" s="269"/>
      <c r="I34" s="123" t="s">
        <v>39</v>
      </c>
      <c r="J34" s="124">
        <v>2.8300283002829999E-3</v>
      </c>
      <c r="K34" s="96">
        <f>_xlfn.XLOOKUP(I34,'Local allocations'!$A$7:$A$139,'Local allocations'!$N$7:$N$139)</f>
        <v>2.8300299999999999E-3</v>
      </c>
      <c r="L34" s="97">
        <f>Table5[[#This Row],[Locality''s Allocation Percentage ]]-K34</f>
        <v>-1.6997169999602435E-9</v>
      </c>
    </row>
    <row r="35" spans="2:12" s="13" customFormat="1" ht="18" customHeight="1" thickBot="1" x14ac:dyDescent="0.3">
      <c r="B35" s="270"/>
      <c r="C35" s="271"/>
      <c r="D35" s="271"/>
      <c r="E35" s="272"/>
      <c r="I35" s="123" t="s">
        <v>40</v>
      </c>
      <c r="J35" s="124">
        <v>1.0000100001E-3</v>
      </c>
      <c r="K35" s="96">
        <f>_xlfn.XLOOKUP(I35,'Local allocations'!$A$7:$A$139,'Local allocations'!$N$7:$N$139)</f>
        <v>1.00001E-3</v>
      </c>
      <c r="L35" s="97">
        <f>Table5[[#This Row],[Locality''s Allocation Percentage ]]-K35</f>
        <v>1.0000008633659352E-13</v>
      </c>
    </row>
    <row r="36" spans="2:12" s="13" customFormat="1" ht="19.5" customHeight="1" thickBot="1" x14ac:dyDescent="0.3">
      <c r="B36" s="115" t="s">
        <v>190</v>
      </c>
      <c r="C36" s="116" t="s">
        <v>183</v>
      </c>
      <c r="D36" s="116" t="s">
        <v>181</v>
      </c>
      <c r="E36" s="117" t="s">
        <v>189</v>
      </c>
      <c r="I36" s="123" t="s">
        <v>41</v>
      </c>
      <c r="J36" s="124">
        <v>7.0000700006999999E-4</v>
      </c>
      <c r="K36" s="96">
        <f>_xlfn.XLOOKUP(I36,'Local allocations'!$A$7:$A$139,'Local allocations'!$N$7:$N$139)</f>
        <v>7.0000699999999999E-4</v>
      </c>
      <c r="L36" s="97">
        <f>Table5[[#This Row],[Locality''s Allocation Percentage ]]-K36</f>
        <v>6.9999995383485114E-14</v>
      </c>
    </row>
    <row r="37" spans="2:12" s="13" customFormat="1" ht="18" customHeight="1" x14ac:dyDescent="0.25">
      <c r="B37" s="128" t="s">
        <v>191</v>
      </c>
      <c r="C37" s="129">
        <f>SUM('Dist - VA Totals'!B22:B23)</f>
        <v>18072485.264686506</v>
      </c>
      <c r="D37" s="129">
        <v>0</v>
      </c>
      <c r="E37" s="130">
        <f>SUM(C37:D37)</f>
        <v>18072485.264686506</v>
      </c>
      <c r="F37" s="22"/>
      <c r="G37" s="22"/>
      <c r="I37" s="123" t="s">
        <v>42</v>
      </c>
      <c r="J37" s="124">
        <v>7.9000790007900095E-3</v>
      </c>
      <c r="K37" s="96">
        <f>_xlfn.XLOOKUP(I37,'Local allocations'!$A$7:$A$139,'Local allocations'!$N$7:$N$139)</f>
        <v>7.9000800000000003E-3</v>
      </c>
      <c r="L37" s="97">
        <f>Table5[[#This Row],[Locality''s Allocation Percentage ]]-K37</f>
        <v>-9.9920999079017303E-10</v>
      </c>
    </row>
    <row r="38" spans="2:12" s="13" customFormat="1" ht="18" customHeight="1" x14ac:dyDescent="0.25">
      <c r="B38" s="131" t="s">
        <v>192</v>
      </c>
      <c r="C38" s="125">
        <f>SUM('Dist - VA Totals'!C22:C23)</f>
        <v>18993300.96845736</v>
      </c>
      <c r="D38" s="132">
        <f>SUM('Jan - VA Totals'!B25,'Jan - VA Totals'!C25,'Jan - VA Totals'!D26,'Jan - VA Totals'!E25,'Jan - VA Totals'!E26,'Jan - VA Totals'!F25,'Jan - VA Totals'!F26)</f>
        <v>72352183.330898881</v>
      </c>
      <c r="E38" s="133">
        <f>SUM(C38:D38)</f>
        <v>91345484.299356237</v>
      </c>
      <c r="F38" s="22"/>
      <c r="G38" s="22"/>
      <c r="I38" s="123" t="s">
        <v>43</v>
      </c>
      <c r="J38" s="124">
        <v>1.0000100001E-3</v>
      </c>
      <c r="K38" s="96">
        <f>_xlfn.XLOOKUP(I38,'Local allocations'!$A$7:$A$139,'Local allocations'!$N$7:$N$139)</f>
        <v>1.00001E-3</v>
      </c>
      <c r="L38" s="97">
        <f>Table5[[#This Row],[Locality''s Allocation Percentage ]]-K38</f>
        <v>1.0000008633659352E-13</v>
      </c>
    </row>
    <row r="39" spans="2:12" s="13" customFormat="1" ht="18" customHeight="1" x14ac:dyDescent="0.25">
      <c r="B39" s="131" t="s">
        <v>193</v>
      </c>
      <c r="C39" s="125">
        <f>SUM('Dist - VA Totals'!D22,'Dist - VA Totals'!D23)</f>
        <v>18993300.96845736</v>
      </c>
      <c r="D39" s="132">
        <v>0</v>
      </c>
      <c r="E39" s="133">
        <f>SUM(C39:D39)</f>
        <v>18993300.96845736</v>
      </c>
      <c r="F39" s="22"/>
      <c r="G39" s="22"/>
      <c r="I39" s="123" t="s">
        <v>44</v>
      </c>
      <c r="J39" s="124">
        <v>6.3700637006370098E-3</v>
      </c>
      <c r="K39" s="96">
        <f>_xlfn.XLOOKUP(I39,'Local allocations'!$A$7:$A$139,'Local allocations'!$N$7:$N$139)</f>
        <v>6.3700600000000003E-3</v>
      </c>
      <c r="L39" s="97">
        <f>Table5[[#This Row],[Locality''s Allocation Percentage ]]-K39</f>
        <v>3.7006370095030161E-9</v>
      </c>
    </row>
    <row r="40" spans="2:12" s="13" customFormat="1" ht="18" customHeight="1" x14ac:dyDescent="0.25">
      <c r="B40" s="131" t="s">
        <v>194</v>
      </c>
      <c r="C40" s="125">
        <f>SUM('Dist - VA Totals'!E22,'Dist - VA Totals'!E23)</f>
        <v>23772806.682994787</v>
      </c>
      <c r="D40" s="132">
        <v>0</v>
      </c>
      <c r="E40" s="133">
        <f t="shared" ref="E40:E54" si="5">SUM(C40:D40)</f>
        <v>23772806.682994787</v>
      </c>
      <c r="F40" s="22"/>
      <c r="G40" s="22"/>
      <c r="I40" s="123" t="s">
        <v>45</v>
      </c>
      <c r="J40" s="124">
        <v>9.4800948009480107E-3</v>
      </c>
      <c r="K40" s="96">
        <f>_xlfn.XLOOKUP(I40,'Local allocations'!$A$7:$A$139,'Local allocations'!$N$7:$N$139)</f>
        <v>9.48009E-3</v>
      </c>
      <c r="L40" s="97">
        <f>Table5[[#This Row],[Locality''s Allocation Percentage ]]-K40</f>
        <v>4.8009480106692148E-9</v>
      </c>
    </row>
    <row r="41" spans="2:12" s="13" customFormat="1" ht="18" customHeight="1" x14ac:dyDescent="0.25">
      <c r="B41" s="131" t="s">
        <v>195</v>
      </c>
      <c r="C41" s="125">
        <f>SUM('Dist - VA Totals'!F22,'Dist - VA Totals'!F23)</f>
        <v>23772806.682766777</v>
      </c>
      <c r="D41" s="125">
        <v>0</v>
      </c>
      <c r="E41" s="133">
        <f t="shared" si="5"/>
        <v>23772806.682766777</v>
      </c>
      <c r="F41" s="22"/>
      <c r="G41" s="22"/>
      <c r="I41" s="123" t="s">
        <v>46</v>
      </c>
      <c r="J41" s="124">
        <v>1.960019600196E-3</v>
      </c>
      <c r="K41" s="96">
        <f>_xlfn.XLOOKUP(I41,'Local allocations'!$A$7:$A$139,'Local allocations'!$N$7:$N$139)</f>
        <v>1.9600199999999998E-3</v>
      </c>
      <c r="L41" s="97">
        <f>Table5[[#This Row],[Locality''s Allocation Percentage ]]-K41</f>
        <v>-3.998039998023839E-10</v>
      </c>
    </row>
    <row r="42" spans="2:12" s="13" customFormat="1" ht="18" customHeight="1" x14ac:dyDescent="0.25">
      <c r="B42" s="131" t="s">
        <v>196</v>
      </c>
      <c r="C42" s="125">
        <f>SUM('Dist - VA Totals'!G22,'Dist - VA Totals'!G23,'Dist - VA Totals'!G26)</f>
        <v>23772806.682538766</v>
      </c>
      <c r="D42" s="132">
        <f>SUM('Jan - VA Totals'!G25,'Jan - VA Totals'!G26)</f>
        <v>3649221.3226667857</v>
      </c>
      <c r="E42" s="133">
        <f t="shared" si="5"/>
        <v>27422028.005205553</v>
      </c>
      <c r="F42" s="22"/>
      <c r="G42" s="22"/>
      <c r="I42" s="123" t="s">
        <v>47</v>
      </c>
      <c r="J42" s="124">
        <v>5.0000500005000002E-4</v>
      </c>
      <c r="K42" s="96">
        <f>_xlfn.XLOOKUP(I42,'Local allocations'!$A$7:$A$139,'Local allocations'!$N$7:$N$139)</f>
        <v>5.0000499999999998E-4</v>
      </c>
      <c r="L42" s="97">
        <f>Table5[[#This Row],[Locality''s Allocation Percentage ]]-K42</f>
        <v>5.0000043168296759E-14</v>
      </c>
    </row>
    <row r="43" spans="2:12" s="13" customFormat="1" ht="18" customHeight="1" x14ac:dyDescent="0.25">
      <c r="B43" s="131" t="s">
        <v>197</v>
      </c>
      <c r="C43" s="125">
        <f>SUM('Dist - VA Totals'!H22,'Dist - VA Totals'!H23,'Dist - VA Totals'!H26)</f>
        <v>23772806.682538766</v>
      </c>
      <c r="D43" s="132">
        <f>SUM('Jan - VA Totals'!H25,'Jan - VA Totals'!H26,'Jan - VA Totals'!H29)</f>
        <v>3649221.2998656346</v>
      </c>
      <c r="E43" s="133">
        <f t="shared" si="5"/>
        <v>27422027.9824044</v>
      </c>
      <c r="F43" s="22"/>
      <c r="G43" s="22"/>
      <c r="I43" s="123" t="s">
        <v>48</v>
      </c>
      <c r="J43" s="124">
        <v>1.010010100101E-3</v>
      </c>
      <c r="K43" s="96">
        <f>_xlfn.XLOOKUP(I43,'Local allocations'!$A$7:$A$139,'Local allocations'!$N$7:$N$139)</f>
        <v>1.01001E-3</v>
      </c>
      <c r="L43" s="97">
        <f>Table5[[#This Row],[Locality''s Allocation Percentage ]]-K43</f>
        <v>1.0010099997168065E-10</v>
      </c>
    </row>
    <row r="44" spans="2:12" s="13" customFormat="1" ht="18" customHeight="1" x14ac:dyDescent="0.25">
      <c r="B44" s="131" t="s">
        <v>198</v>
      </c>
      <c r="C44" s="125">
        <f>SUM('Dist - VA Totals'!I22,'Dist - VA Totals'!I23,'Dist - VA Totals'!I26)</f>
        <v>27959684.856304102</v>
      </c>
      <c r="D44" s="132">
        <f>SUM('Jan - VA Totals'!I25,'Jan - VA Totals'!I26,'Jan - VA Totals'!I29)</f>
        <v>3649221.2542633326</v>
      </c>
      <c r="E44" s="133">
        <f t="shared" si="5"/>
        <v>31608906.110567436</v>
      </c>
      <c r="F44" s="22"/>
      <c r="G44" s="22"/>
      <c r="I44" s="123" t="s">
        <v>49</v>
      </c>
      <c r="J44" s="124">
        <v>8.6720867208672101E-2</v>
      </c>
      <c r="K44" s="96">
        <f>_xlfn.XLOOKUP(I44,'Local allocations'!$A$7:$A$139,'Local allocations'!$N$7:$N$139)</f>
        <v>8.6720900000000004E-2</v>
      </c>
      <c r="L44" s="97">
        <f>Table5[[#This Row],[Locality''s Allocation Percentage ]]-K44</f>
        <v>-3.2791327903014533E-8</v>
      </c>
    </row>
    <row r="45" spans="2:12" s="13" customFormat="1" ht="18" customHeight="1" x14ac:dyDescent="0.25">
      <c r="B45" s="131" t="s">
        <v>199</v>
      </c>
      <c r="C45" s="125">
        <f>SUM('Dist - VA Totals'!J22,'Dist - VA Totals'!J23,'Dist - VA Totals'!J26)</f>
        <v>27959684.856304102</v>
      </c>
      <c r="D45" s="132">
        <f>SUM('Jan - VA Totals'!J25,'Jan - VA Totals'!J26,'Jan - VA Totals'!J29)</f>
        <v>4646097.0278369375</v>
      </c>
      <c r="E45" s="133">
        <f t="shared" si="5"/>
        <v>32605781.884141039</v>
      </c>
      <c r="F45" s="22"/>
      <c r="G45" s="22"/>
      <c r="I45" s="123" t="s">
        <v>50</v>
      </c>
      <c r="J45" s="124">
        <v>2.6900269002689998E-3</v>
      </c>
      <c r="K45" s="96">
        <f>_xlfn.XLOOKUP(I45,'Local allocations'!$A$7:$A$139,'Local allocations'!$N$7:$N$139)</f>
        <v>2.6900299999999999E-3</v>
      </c>
      <c r="L45" s="97">
        <f>Table5[[#This Row],[Locality''s Allocation Percentage ]]-K45</f>
        <v>-3.0997310000897838E-9</v>
      </c>
    </row>
    <row r="46" spans="2:12" s="13" customFormat="1" ht="18" customHeight="1" x14ac:dyDescent="0.25">
      <c r="B46" s="131" t="s">
        <v>200</v>
      </c>
      <c r="C46" s="125">
        <f>SUM('Dist - VA Totals'!K22,'Dist - VA Totals'!K23,'Dist - VA Totals'!K26)</f>
        <v>27959684.856304102</v>
      </c>
      <c r="D46" s="125">
        <f>SUM('Jan - VA Totals'!K25,'Jan - VA Totals'!K26,'Jan - VA Totals'!K29)</f>
        <v>4646097.050638088</v>
      </c>
      <c r="E46" s="133">
        <f t="shared" si="5"/>
        <v>32605781.906942189</v>
      </c>
      <c r="F46" s="22"/>
      <c r="G46" s="22"/>
      <c r="I46" s="123" t="s">
        <v>51</v>
      </c>
      <c r="J46" s="124">
        <v>1.0200102001020001E-3</v>
      </c>
      <c r="K46" s="96">
        <f>_xlfn.XLOOKUP(I46,'Local allocations'!$A$7:$A$139,'Local allocations'!$N$7:$N$139)</f>
        <v>1.02001E-3</v>
      </c>
      <c r="L46" s="97">
        <f>Table5[[#This Row],[Locality''s Allocation Percentage ]]-K46</f>
        <v>2.0010200007386514E-10</v>
      </c>
    </row>
    <row r="47" spans="2:12" s="13" customFormat="1" ht="18" customHeight="1" x14ac:dyDescent="0.25">
      <c r="B47" s="131" t="s">
        <v>201</v>
      </c>
      <c r="C47" s="125">
        <f>SUM('Dist - VA Totals'!L22,'Dist - VA Totals'!L23,'Dist - VA Totals'!L26)</f>
        <v>23502936.852050558</v>
      </c>
      <c r="D47" s="125">
        <f>SUM('Jan - VA Totals'!L25,'Jan - VA Totals'!L26,'Jan - VA Totals'!L29)</f>
        <v>4646097.0278369375</v>
      </c>
      <c r="E47" s="133">
        <f>SUM(C47:D47)</f>
        <v>28149033.879887495</v>
      </c>
      <c r="F47" s="22"/>
      <c r="G47" s="22"/>
      <c r="I47" s="123" t="s">
        <v>52</v>
      </c>
      <c r="J47" s="124">
        <v>1.2100121001209999E-2</v>
      </c>
      <c r="K47" s="96">
        <f>_xlfn.XLOOKUP(I47,'Local allocations'!$A$7:$A$139,'Local allocations'!$N$7:$N$139)</f>
        <v>1.2100100000000001E-2</v>
      </c>
      <c r="L47" s="97">
        <f>Table5[[#This Row],[Locality''s Allocation Percentage ]]-K47</f>
        <v>2.1001209998469661E-8</v>
      </c>
    </row>
    <row r="48" spans="2:12" s="13" customFormat="1" ht="18" customHeight="1" x14ac:dyDescent="0.25">
      <c r="B48" s="131" t="s">
        <v>202</v>
      </c>
      <c r="C48" s="125">
        <f>SUM('Dist - VA Totals'!M22,'Dist - VA Totals'!M23,'Dist - VA Totals'!M26)</f>
        <v>23502936.852050558</v>
      </c>
      <c r="D48" s="132">
        <v>0</v>
      </c>
      <c r="E48" s="133">
        <f t="shared" si="5"/>
        <v>23502936.852050558</v>
      </c>
      <c r="F48" s="22"/>
      <c r="G48" s="22"/>
      <c r="I48" s="123" t="s">
        <v>53</v>
      </c>
      <c r="J48" s="124">
        <v>1.820018200182E-3</v>
      </c>
      <c r="K48" s="96">
        <f>_xlfn.XLOOKUP(I48,'Local allocations'!$A$7:$A$139,'Local allocations'!$N$7:$N$139)</f>
        <v>1.8200200000000001E-3</v>
      </c>
      <c r="L48" s="97">
        <f>Table5[[#This Row],[Locality''s Allocation Percentage ]]-K48</f>
        <v>-1.7998180001487646E-9</v>
      </c>
    </row>
    <row r="49" spans="2:12" s="13" customFormat="1" ht="18" customHeight="1" x14ac:dyDescent="0.25">
      <c r="B49" s="131" t="s">
        <v>203</v>
      </c>
      <c r="C49" s="125">
        <f>SUM('Dist - VA Totals'!N22,'Dist - VA Totals'!N23,'Dist - VA Totals'!N26)</f>
        <v>23502936.852050558</v>
      </c>
      <c r="D49" s="132">
        <v>0</v>
      </c>
      <c r="E49" s="133">
        <f t="shared" si="5"/>
        <v>23502936.852050558</v>
      </c>
      <c r="F49" s="22"/>
      <c r="G49" s="22"/>
      <c r="I49" s="123" t="s">
        <v>54</v>
      </c>
      <c r="J49" s="124">
        <v>1.940019400194E-3</v>
      </c>
      <c r="K49" s="96">
        <f>_xlfn.XLOOKUP(I49,'Local allocations'!$A$7:$A$139,'Local allocations'!$N$7:$N$139)</f>
        <v>1.94002E-3</v>
      </c>
      <c r="L49" s="97">
        <f>Table5[[#This Row],[Locality''s Allocation Percentage ]]-K49</f>
        <v>-5.9980600000675288E-10</v>
      </c>
    </row>
    <row r="50" spans="2:12" s="13" customFormat="1" ht="18" customHeight="1" x14ac:dyDescent="0.25">
      <c r="B50" s="131" t="s">
        <v>204</v>
      </c>
      <c r="C50" s="125">
        <f>SUM('Dist - VA Totals'!O22,'Dist - VA Totals'!O23,'Dist - VA Totals'!O26)</f>
        <v>23502936.852050558</v>
      </c>
      <c r="D50" s="132">
        <v>0</v>
      </c>
      <c r="E50" s="133">
        <f t="shared" si="5"/>
        <v>23502936.852050558</v>
      </c>
      <c r="F50" s="22"/>
      <c r="G50" s="22"/>
      <c r="I50" s="123" t="s">
        <v>55</v>
      </c>
      <c r="J50" s="124">
        <v>9.5400954009540097E-3</v>
      </c>
      <c r="K50" s="96">
        <f>_xlfn.XLOOKUP(I50,'Local allocations'!$A$7:$A$139,'Local allocations'!$N$7:$N$139)</f>
        <v>9.5400999999999993E-3</v>
      </c>
      <c r="L50" s="97">
        <f>Table5[[#This Row],[Locality''s Allocation Percentage ]]-K50</f>
        <v>-4.5990459895256519E-9</v>
      </c>
    </row>
    <row r="51" spans="2:12" s="13" customFormat="1" ht="18" customHeight="1" x14ac:dyDescent="0.25">
      <c r="B51" s="131" t="s">
        <v>205</v>
      </c>
      <c r="C51" s="125">
        <f>SUM('Dist - VA Totals'!P22,'Dist - VA Totals'!P23,'Dist - VA Totals'!P26)</f>
        <v>23502936.852050558</v>
      </c>
      <c r="D51" s="132">
        <v>0</v>
      </c>
      <c r="E51" s="133">
        <f t="shared" si="5"/>
        <v>23502936.852050558</v>
      </c>
      <c r="F51" s="22"/>
      <c r="G51" s="22"/>
      <c r="I51" s="123" t="s">
        <v>56</v>
      </c>
      <c r="J51" s="124">
        <v>7.9000790007899995E-4</v>
      </c>
      <c r="K51" s="96">
        <f>_xlfn.XLOOKUP(I51,'Local allocations'!$A$7:$A$139,'Local allocations'!$N$7:$N$139)</f>
        <v>7.9000800000000003E-4</v>
      </c>
      <c r="L51" s="97">
        <f>Table5[[#This Row],[Locality''s Allocation Percentage ]]-K51</f>
        <v>-9.9921000076483302E-11</v>
      </c>
    </row>
    <row r="52" spans="2:12" s="13" customFormat="1" ht="18" customHeight="1" x14ac:dyDescent="0.25">
      <c r="B52" s="131" t="s">
        <v>206</v>
      </c>
      <c r="C52" s="125">
        <f>SUM('Dist - VA Totals'!Q22,'Dist - VA Totals'!Q23,'Dist - VA Totals'!Q26)</f>
        <v>23502936.852050558</v>
      </c>
      <c r="D52" s="132">
        <v>0</v>
      </c>
      <c r="E52" s="133">
        <f t="shared" si="5"/>
        <v>23502936.852050558</v>
      </c>
      <c r="F52" s="22"/>
      <c r="G52" s="22"/>
      <c r="I52" s="123" t="s">
        <v>57</v>
      </c>
      <c r="J52" s="124">
        <v>1.2770127701276999E-2</v>
      </c>
      <c r="K52" s="96">
        <f>_xlfn.XLOOKUP(I52,'Local allocations'!$A$7:$A$139,'Local allocations'!$N$7:$N$139)</f>
        <v>1.27701E-2</v>
      </c>
      <c r="L52" s="97">
        <f>Table5[[#This Row],[Locality''s Allocation Percentage ]]-K52</f>
        <v>2.770127699967817E-8</v>
      </c>
    </row>
    <row r="53" spans="2:12" s="13" customFormat="1" ht="18" customHeight="1" x14ac:dyDescent="0.25">
      <c r="B53" s="131" t="s">
        <v>207</v>
      </c>
      <c r="C53" s="125">
        <f>SUM('Dist - VA Totals'!R22,'Dist - VA Totals'!R23,'Dist - VA Totals'!R26)</f>
        <v>23502936.852050558</v>
      </c>
      <c r="D53" s="132">
        <v>0</v>
      </c>
      <c r="E53" s="133">
        <f t="shared" si="5"/>
        <v>23502936.852050558</v>
      </c>
      <c r="F53" s="22"/>
      <c r="G53" s="22"/>
      <c r="I53" s="123" t="s">
        <v>58</v>
      </c>
      <c r="J53" s="124">
        <v>5.2400524005239996E-3</v>
      </c>
      <c r="K53" s="96">
        <f>_xlfn.XLOOKUP(I53,'Local allocations'!$A$7:$A$139,'Local allocations'!$N$7:$N$139)</f>
        <v>5.2400499999999996E-3</v>
      </c>
      <c r="L53" s="97">
        <f>Table5[[#This Row],[Locality''s Allocation Percentage ]]-K53</f>
        <v>2.4005240000651851E-9</v>
      </c>
    </row>
    <row r="54" spans="2:12" s="13" customFormat="1" ht="18" customHeight="1" thickBot="1" x14ac:dyDescent="0.3">
      <c r="B54" s="134" t="s">
        <v>208</v>
      </c>
      <c r="C54" s="135">
        <f>SUM('Dist - VA Totals'!S22,'Dist - VA Totals'!S23,'Dist - VA Totals'!S26)</f>
        <v>23502936.852050558</v>
      </c>
      <c r="D54" s="135">
        <v>0</v>
      </c>
      <c r="E54" s="136">
        <f t="shared" si="5"/>
        <v>23502936.852050558</v>
      </c>
      <c r="F54" s="22"/>
      <c r="G54" s="22"/>
      <c r="I54" s="123" t="s">
        <v>59</v>
      </c>
      <c r="J54" s="124">
        <v>1.3900139001390001E-3</v>
      </c>
      <c r="K54" s="96">
        <f>_xlfn.XLOOKUP(I54,'Local allocations'!$A$7:$A$139,'Local allocations'!$N$7:$N$139)</f>
        <v>1.3900099999999999E-3</v>
      </c>
      <c r="L54" s="97">
        <f>Table5[[#This Row],[Locality''s Allocation Percentage ]]-K54</f>
        <v>3.9001390001684039E-9</v>
      </c>
    </row>
    <row r="55" spans="2:12" s="13" customFormat="1" ht="18" customHeight="1" x14ac:dyDescent="0.25">
      <c r="I55" s="123" t="s">
        <v>60</v>
      </c>
      <c r="J55" s="124">
        <v>4.0900409004089996E-3</v>
      </c>
      <c r="K55" s="96">
        <f>_xlfn.XLOOKUP(I55,'Local allocations'!$A$7:$A$139,'Local allocations'!$N$7:$N$139)</f>
        <v>4.0900399999999996E-3</v>
      </c>
      <c r="L55" s="97">
        <f>Table5[[#This Row],[Locality''s Allocation Percentage ]]-K55</f>
        <v>9.0040899996396417E-10</v>
      </c>
    </row>
    <row r="56" spans="2:12" s="13" customFormat="1" ht="18" customHeight="1" x14ac:dyDescent="0.25">
      <c r="E56" s="22"/>
      <c r="I56" s="123" t="s">
        <v>61</v>
      </c>
      <c r="J56" s="124">
        <v>4.2400424004239998E-3</v>
      </c>
      <c r="K56" s="96">
        <f>_xlfn.XLOOKUP(I56,'Local allocations'!$A$7:$A$139,'Local allocations'!$N$7:$N$139)</f>
        <v>4.2400399999999996E-3</v>
      </c>
      <c r="L56" s="97">
        <f>Table5[[#This Row],[Locality''s Allocation Percentage ]]-K56</f>
        <v>2.4004240001956889E-9</v>
      </c>
    </row>
    <row r="57" spans="2:12" s="13" customFormat="1" ht="18" customHeight="1" x14ac:dyDescent="0.25">
      <c r="I57" s="123" t="s">
        <v>62</v>
      </c>
      <c r="J57" s="124">
        <v>2.2500225002249998E-3</v>
      </c>
      <c r="K57" s="96">
        <f>_xlfn.XLOOKUP(I57,'Local allocations'!$A$7:$A$139,'Local allocations'!$N$7:$N$139)</f>
        <v>2.2500200000000001E-3</v>
      </c>
      <c r="L57" s="97">
        <f>Table5[[#This Row],[Locality''s Allocation Percentage ]]-K57</f>
        <v>2.5002249996915193E-9</v>
      </c>
    </row>
    <row r="58" spans="2:12" s="13" customFormat="1" ht="18" customHeight="1" x14ac:dyDescent="0.25">
      <c r="I58" s="123" t="s">
        <v>63</v>
      </c>
      <c r="J58" s="124">
        <v>2.2400224002240001E-3</v>
      </c>
      <c r="K58" s="96">
        <f>_xlfn.XLOOKUP(I58,'Local allocations'!$A$7:$A$139,'Local allocations'!$N$7:$N$139)</f>
        <v>2.2400200000000001E-3</v>
      </c>
      <c r="L58" s="97">
        <f>Table5[[#This Row],[Locality''s Allocation Percentage ]]-K58</f>
        <v>2.4002240000230157E-9</v>
      </c>
    </row>
    <row r="59" spans="2:12" s="13" customFormat="1" ht="18" customHeight="1" x14ac:dyDescent="0.25">
      <c r="I59" s="123" t="s">
        <v>64</v>
      </c>
      <c r="J59" s="124">
        <v>1.7800178001780001E-3</v>
      </c>
      <c r="K59" s="96">
        <f>_xlfn.XLOOKUP(I59,'Local allocations'!$A$7:$A$139,'Local allocations'!$N$7:$N$139)</f>
        <v>1.78002E-3</v>
      </c>
      <c r="L59" s="97">
        <f>Table5[[#This Row],[Locality''s Allocation Percentage ]]-K59</f>
        <v>-2.1998219999069812E-9</v>
      </c>
    </row>
    <row r="60" spans="2:12" s="13" customFormat="1" ht="18" customHeight="1" x14ac:dyDescent="0.25">
      <c r="E60" s="22"/>
      <c r="F60" s="22"/>
      <c r="I60" s="123" t="s">
        <v>65</v>
      </c>
      <c r="J60" s="124">
        <v>1.2400124001240001E-3</v>
      </c>
      <c r="K60" s="96">
        <f>_xlfn.XLOOKUP(I60,'Local allocations'!$A$7:$A$139,'Local allocations'!$N$7:$N$139)</f>
        <v>1.2400099999999999E-3</v>
      </c>
      <c r="L60" s="97">
        <f>Table5[[#This Row],[Locality''s Allocation Percentage ]]-K60</f>
        <v>2.4001240001535196E-9</v>
      </c>
    </row>
    <row r="61" spans="2:12" s="13" customFormat="1" ht="18" customHeight="1" x14ac:dyDescent="0.25">
      <c r="I61" s="123" t="s">
        <v>66</v>
      </c>
      <c r="J61" s="124">
        <v>3.5300353003529998E-3</v>
      </c>
      <c r="K61" s="96">
        <f>_xlfn.XLOOKUP(I61,'Local allocations'!$A$7:$A$139,'Local allocations'!$N$7:$N$139)</f>
        <v>3.5300399999999999E-3</v>
      </c>
      <c r="L61" s="97">
        <f>Table5[[#This Row],[Locality''s Allocation Percentage ]]-K61</f>
        <v>-4.6996470001205159E-9</v>
      </c>
    </row>
    <row r="62" spans="2:12" s="13" customFormat="1" ht="18" customHeight="1" x14ac:dyDescent="0.25">
      <c r="I62" s="123" t="s">
        <v>67</v>
      </c>
      <c r="J62" s="124">
        <v>1.5380153801538E-2</v>
      </c>
      <c r="K62" s="96">
        <f>_xlfn.XLOOKUP(I62,'Local allocations'!$A$7:$A$139,'Local allocations'!$N$7:$N$139)</f>
        <v>1.53802E-2</v>
      </c>
      <c r="L62" s="97">
        <f>Table5[[#This Row],[Locality''s Allocation Percentage ]]-K62</f>
        <v>-4.6198462000379692E-8</v>
      </c>
    </row>
    <row r="63" spans="2:12" s="13" customFormat="1" ht="18" customHeight="1" x14ac:dyDescent="0.25">
      <c r="I63" s="123" t="s">
        <v>68</v>
      </c>
      <c r="J63" s="124">
        <v>1.0790107901079E-2</v>
      </c>
      <c r="K63" s="96">
        <f>_xlfn.XLOOKUP(I63,'Local allocations'!$A$7:$A$139,'Local allocations'!$N$7:$N$139)</f>
        <v>1.07901E-2</v>
      </c>
      <c r="L63" s="97">
        <f>Table5[[#This Row],[Locality''s Allocation Percentage ]]-K63</f>
        <v>7.9010789993949615E-9</v>
      </c>
    </row>
    <row r="64" spans="2:12" s="13" customFormat="1" ht="18" customHeight="1" x14ac:dyDescent="0.25">
      <c r="I64" s="123" t="s">
        <v>69</v>
      </c>
      <c r="J64" s="124">
        <v>5.2300523005230099E-3</v>
      </c>
      <c r="K64" s="96">
        <f>_xlfn.XLOOKUP(I64,'Local allocations'!$A$7:$A$139,'Local allocations'!$N$7:$N$139)</f>
        <v>5.23005E-3</v>
      </c>
      <c r="L64" s="97">
        <f>Table5[[#This Row],[Locality''s Allocation Percentage ]]-K64</f>
        <v>2.3005230099376606E-9</v>
      </c>
    </row>
    <row r="65" spans="9:12" s="13" customFormat="1" ht="18" customHeight="1" x14ac:dyDescent="0.25">
      <c r="I65" s="123" t="s">
        <v>70</v>
      </c>
      <c r="J65" s="124">
        <v>4.4730447304473002E-2</v>
      </c>
      <c r="K65" s="96">
        <f>_xlfn.XLOOKUP(I65,'Local allocations'!$A$7:$A$139,'Local allocations'!$N$7:$N$139)</f>
        <v>4.4730399999999997E-2</v>
      </c>
      <c r="L65" s="97">
        <f>Table5[[#This Row],[Locality''s Allocation Percentage ]]-K65</f>
        <v>4.7304473005382874E-8</v>
      </c>
    </row>
    <row r="66" spans="9:12" s="13" customFormat="1" ht="18" customHeight="1" x14ac:dyDescent="0.25">
      <c r="I66" s="123" t="s">
        <v>71</v>
      </c>
      <c r="J66" s="124">
        <v>1.2200122001220001E-2</v>
      </c>
      <c r="K66" s="96">
        <f>_xlfn.XLOOKUP(I66,'Local allocations'!$A$7:$A$139,'Local allocations'!$N$7:$N$139)</f>
        <v>1.22001E-2</v>
      </c>
      <c r="L66" s="97">
        <f>Table5[[#This Row],[Locality''s Allocation Percentage ]]-K66</f>
        <v>2.2001220000358868E-8</v>
      </c>
    </row>
    <row r="67" spans="9:12" s="13" customFormat="1" ht="18" customHeight="1" x14ac:dyDescent="0.25">
      <c r="I67" s="123" t="s">
        <v>72</v>
      </c>
      <c r="J67" s="124">
        <v>2.30002300023E-4</v>
      </c>
      <c r="K67" s="96">
        <f>_xlfn.XLOOKUP(I67,'Local allocations'!$A$7:$A$139,'Local allocations'!$N$7:$N$139)</f>
        <v>2.3000200000000001E-4</v>
      </c>
      <c r="L67" s="97">
        <f>Table5[[#This Row],[Locality''s Allocation Percentage ]]-K67</f>
        <v>3.0002299998771811E-10</v>
      </c>
    </row>
    <row r="68" spans="9:12" s="13" customFormat="1" ht="18" customHeight="1" x14ac:dyDescent="0.25">
      <c r="I68" s="123" t="s">
        <v>73</v>
      </c>
      <c r="J68" s="124">
        <v>3.4400344003439999E-3</v>
      </c>
      <c r="K68" s="96">
        <f>_xlfn.XLOOKUP(I68,'Local allocations'!$A$7:$A$139,'Local allocations'!$N$7:$N$139)</f>
        <v>3.4400300000000002E-3</v>
      </c>
      <c r="L68" s="97">
        <f>Table5[[#This Row],[Locality''s Allocation Percentage ]]-K68</f>
        <v>4.4003439997677973E-9</v>
      </c>
    </row>
    <row r="69" spans="9:12" s="13" customFormat="1" ht="18" customHeight="1" x14ac:dyDescent="0.25">
      <c r="I69" s="123" t="s">
        <v>74</v>
      </c>
      <c r="J69" s="124">
        <v>3.5600356003560002E-3</v>
      </c>
      <c r="K69" s="96">
        <f>_xlfn.XLOOKUP(I69,'Local allocations'!$A$7:$A$139,'Local allocations'!$N$7:$N$139)</f>
        <v>3.56004E-3</v>
      </c>
      <c r="L69" s="97">
        <f>Table5[[#This Row],[Locality''s Allocation Percentage ]]-K69</f>
        <v>-4.3996439998139625E-9</v>
      </c>
    </row>
    <row r="70" spans="9:12" s="13" customFormat="1" ht="18" customHeight="1" x14ac:dyDescent="0.25">
      <c r="I70" s="123" t="s">
        <v>75</v>
      </c>
      <c r="J70" s="124">
        <v>6.1200612006120101E-3</v>
      </c>
      <c r="K70" s="96">
        <f>_xlfn.XLOOKUP(I70,'Local allocations'!$A$7:$A$139,'Local allocations'!$N$7:$N$139)</f>
        <v>6.1200600000000001E-3</v>
      </c>
      <c r="L70" s="97">
        <f>Table5[[#This Row],[Locality''s Allocation Percentage ]]-K70</f>
        <v>1.2006120099841699E-9</v>
      </c>
    </row>
    <row r="71" spans="9:12" s="13" customFormat="1" ht="18" customHeight="1" x14ac:dyDescent="0.25">
      <c r="I71" s="123" t="s">
        <v>76</v>
      </c>
      <c r="J71" s="124">
        <v>3.0600306003059998E-3</v>
      </c>
      <c r="K71" s="96">
        <f>_xlfn.XLOOKUP(I71,'Local allocations'!$A$7:$A$139,'Local allocations'!$N$7:$N$139)</f>
        <v>3.06003E-3</v>
      </c>
      <c r="L71" s="97">
        <f>Table5[[#This Row],[Locality''s Allocation Percentage ]]-K71</f>
        <v>6.0030599978791455E-10</v>
      </c>
    </row>
    <row r="72" spans="9:12" s="13" customFormat="1" ht="18" customHeight="1" x14ac:dyDescent="0.25">
      <c r="I72" s="123" t="s">
        <v>77</v>
      </c>
      <c r="J72" s="124">
        <v>1.7800178001780001E-3</v>
      </c>
      <c r="K72" s="96">
        <f>_xlfn.XLOOKUP(I72,'Local allocations'!$A$7:$A$139,'Local allocations'!$N$7:$N$139)</f>
        <v>1.78002E-3</v>
      </c>
      <c r="L72" s="97">
        <f>Table5[[#This Row],[Locality''s Allocation Percentage ]]-K72</f>
        <v>-2.1998219999069812E-9</v>
      </c>
    </row>
    <row r="73" spans="9:12" s="13" customFormat="1" ht="18" customHeight="1" x14ac:dyDescent="0.25">
      <c r="I73" s="123" t="s">
        <v>78</v>
      </c>
      <c r="J73" s="124">
        <v>7.2000720007200003E-4</v>
      </c>
      <c r="K73" s="96">
        <f>_xlfn.XLOOKUP(I73,'Local allocations'!$A$7:$A$139,'Local allocations'!$N$7:$N$139)</f>
        <v>7.2000700000000005E-4</v>
      </c>
      <c r="L73" s="97">
        <f>Table5[[#This Row],[Locality''s Allocation Percentage ]]-K73</f>
        <v>2.0007199998291203E-10</v>
      </c>
    </row>
    <row r="74" spans="9:12" s="13" customFormat="1" ht="18" customHeight="1" x14ac:dyDescent="0.25">
      <c r="I74" s="123" t="s">
        <v>79</v>
      </c>
      <c r="J74" s="124">
        <v>1.350013500135E-3</v>
      </c>
      <c r="K74" s="96">
        <f>_xlfn.XLOOKUP(I74,'Local allocations'!$A$7:$A$139,'Local allocations'!$N$7:$N$139)</f>
        <v>1.35001E-3</v>
      </c>
      <c r="L74" s="97">
        <f>Table5[[#This Row],[Locality''s Allocation Percentage ]]-K74</f>
        <v>3.5001349999765063E-9</v>
      </c>
    </row>
    <row r="75" spans="9:12" s="13" customFormat="1" ht="18" customHeight="1" x14ac:dyDescent="0.25">
      <c r="I75" s="123" t="s">
        <v>80</v>
      </c>
      <c r="J75" s="124">
        <v>5.5600556005560098E-3</v>
      </c>
      <c r="K75" s="96">
        <f>_xlfn.XLOOKUP(I75,'Local allocations'!$A$7:$A$139,'Local allocations'!$N$7:$N$139)</f>
        <v>5.5600600000000003E-3</v>
      </c>
      <c r="L75" s="97">
        <f>Table5[[#This Row],[Locality''s Allocation Percentage ]]-K75</f>
        <v>-4.399443990533991E-9</v>
      </c>
    </row>
    <row r="76" spans="9:12" s="13" customFormat="1" ht="18" customHeight="1" x14ac:dyDescent="0.25">
      <c r="I76" s="123" t="s">
        <v>81</v>
      </c>
      <c r="J76" s="124">
        <v>9.3000930009300002E-4</v>
      </c>
      <c r="K76" s="96">
        <f>_xlfn.XLOOKUP(I76,'Local allocations'!$A$7:$A$139,'Local allocations'!$N$7:$N$139)</f>
        <v>9.3000899999999998E-4</v>
      </c>
      <c r="L76" s="97">
        <f>Table5[[#This Row],[Locality''s Allocation Percentage ]]-K76</f>
        <v>3.0009300003731171E-10</v>
      </c>
    </row>
    <row r="77" spans="9:12" s="13" customFormat="1" ht="18" customHeight="1" x14ac:dyDescent="0.25">
      <c r="I77" s="123" t="s">
        <v>82</v>
      </c>
      <c r="J77" s="124">
        <v>2.5670256702567E-2</v>
      </c>
      <c r="K77" s="96">
        <f>_xlfn.XLOOKUP(I77,'Local allocations'!$A$7:$A$139,'Local allocations'!$N$7:$N$139)</f>
        <v>2.56703E-2</v>
      </c>
      <c r="L77" s="97">
        <f>Table5[[#This Row],[Locality''s Allocation Percentage ]]-K77</f>
        <v>-4.3297433000022423E-8</v>
      </c>
    </row>
    <row r="78" spans="9:12" s="13" customFormat="1" ht="18" customHeight="1" x14ac:dyDescent="0.25">
      <c r="I78" s="123" t="s">
        <v>83</v>
      </c>
      <c r="J78" s="124">
        <v>4.4900449004490004E-3</v>
      </c>
      <c r="K78" s="96">
        <f>_xlfn.XLOOKUP(I78,'Local allocations'!$A$7:$A$139,'Local allocations'!$N$7:$N$139)</f>
        <v>4.4900399999999998E-3</v>
      </c>
      <c r="L78" s="97">
        <f>Table5[[#This Row],[Locality''s Allocation Percentage ]]-K78</f>
        <v>4.9004490005818968E-9</v>
      </c>
    </row>
    <row r="79" spans="9:12" s="13" customFormat="1" ht="18" customHeight="1" x14ac:dyDescent="0.25">
      <c r="I79" s="123" t="s">
        <v>84</v>
      </c>
      <c r="J79" s="124">
        <v>8.8000880008800002E-4</v>
      </c>
      <c r="K79" s="96">
        <f>_xlfn.XLOOKUP(I79,'Local allocations'!$A$7:$A$139,'Local allocations'!$N$7:$N$139)</f>
        <v>8.8000899999999996E-4</v>
      </c>
      <c r="L79" s="97">
        <f>Table5[[#This Row],[Locality''s Allocation Percentage ]]-K79</f>
        <v>-1.9991199993150965E-10</v>
      </c>
    </row>
    <row r="80" spans="9:12" s="13" customFormat="1" ht="18" customHeight="1" x14ac:dyDescent="0.25">
      <c r="I80" s="123" t="s">
        <v>85</v>
      </c>
      <c r="J80" s="124">
        <v>8.1600816008160094E-3</v>
      </c>
      <c r="K80" s="96">
        <f>_xlfn.XLOOKUP(I80,'Local allocations'!$A$7:$A$139,'Local allocations'!$N$7:$N$139)</f>
        <v>8.1600800000000001E-3</v>
      </c>
      <c r="L80" s="97">
        <f>Table5[[#This Row],[Locality''s Allocation Percentage ]]-K80</f>
        <v>1.6008160092645385E-9</v>
      </c>
    </row>
    <row r="81" spans="9:12" s="13" customFormat="1" ht="18" customHeight="1" x14ac:dyDescent="0.25">
      <c r="I81" s="123" t="s">
        <v>86</v>
      </c>
      <c r="J81" s="124">
        <v>1.6300163001629999E-3</v>
      </c>
      <c r="K81" s="96">
        <f>_xlfn.XLOOKUP(I81,'Local allocations'!$A$7:$A$139,'Local allocations'!$N$7:$N$139)</f>
        <v>1.63002E-3</v>
      </c>
      <c r="L81" s="97">
        <f>Table5[[#This Row],[Locality''s Allocation Percentage ]]-K81</f>
        <v>-3.699837000138706E-9</v>
      </c>
    </row>
    <row r="82" spans="9:12" s="13" customFormat="1" ht="18" customHeight="1" x14ac:dyDescent="0.25">
      <c r="I82" s="123" t="s">
        <v>87</v>
      </c>
      <c r="J82" s="124">
        <v>4.5200452004519999E-3</v>
      </c>
      <c r="K82" s="96">
        <f>_xlfn.XLOOKUP(I82,'Local allocations'!$A$7:$A$139,'Local allocations'!$N$7:$N$139)</f>
        <v>4.5200500000000003E-3</v>
      </c>
      <c r="L82" s="97">
        <f>Table5[[#This Row],[Locality''s Allocation Percentage ]]-K82</f>
        <v>-4.7995480003532043E-9</v>
      </c>
    </row>
    <row r="83" spans="9:12" s="13" customFormat="1" ht="18" customHeight="1" x14ac:dyDescent="0.25">
      <c r="I83" s="123" t="s">
        <v>88</v>
      </c>
      <c r="J83" s="124">
        <v>9.5000950009499995E-4</v>
      </c>
      <c r="K83" s="96">
        <f>_xlfn.XLOOKUP(I83,'Local allocations'!$A$7:$A$139,'Local allocations'!$N$7:$N$139)</f>
        <v>9.5001000000000005E-4</v>
      </c>
      <c r="L83" s="97">
        <f>Table5[[#This Row],[Locality''s Allocation Percentage ]]-K83</f>
        <v>-4.999050000993252E-10</v>
      </c>
    </row>
    <row r="84" spans="9:12" s="13" customFormat="1" ht="18" customHeight="1" x14ac:dyDescent="0.25">
      <c r="I84" s="123" t="s">
        <v>89</v>
      </c>
      <c r="J84" s="124">
        <v>4.9400494004940001E-3</v>
      </c>
      <c r="K84" s="96">
        <f>_xlfn.XLOOKUP(I84,'Local allocations'!$A$7:$A$139,'Local allocations'!$N$7:$N$139)</f>
        <v>4.9400499999999996E-3</v>
      </c>
      <c r="L84" s="97">
        <f>Table5[[#This Row],[Locality''s Allocation Percentage ]]-K84</f>
        <v>-5.9950599953090267E-10</v>
      </c>
    </row>
    <row r="85" spans="9:12" s="13" customFormat="1" ht="18" customHeight="1" x14ac:dyDescent="0.25">
      <c r="I85" s="123" t="s">
        <v>90</v>
      </c>
      <c r="J85" s="124">
        <v>8.8000880008800002E-4</v>
      </c>
      <c r="K85" s="96">
        <f>_xlfn.XLOOKUP(I85,'Local allocations'!$A$7:$A$139,'Local allocations'!$N$7:$N$139)</f>
        <v>8.8000899999999996E-4</v>
      </c>
      <c r="L85" s="97">
        <f>Table5[[#This Row],[Locality''s Allocation Percentage ]]-K85</f>
        <v>-1.9991199993150965E-10</v>
      </c>
    </row>
    <row r="86" spans="9:12" s="13" customFormat="1" ht="18" customHeight="1" x14ac:dyDescent="0.25">
      <c r="I86" s="123" t="s">
        <v>91</v>
      </c>
      <c r="J86" s="124">
        <v>3.4400344003439999E-3</v>
      </c>
      <c r="K86" s="96">
        <f>_xlfn.XLOOKUP(I86,'Local allocations'!$A$7:$A$139,'Local allocations'!$N$7:$N$139)</f>
        <v>3.4400300000000002E-3</v>
      </c>
      <c r="L86" s="97">
        <f>Table5[[#This Row],[Locality''s Allocation Percentage ]]-K86</f>
        <v>4.4003439997677973E-9</v>
      </c>
    </row>
    <row r="87" spans="9:12" s="13" customFormat="1" ht="18" customHeight="1" x14ac:dyDescent="0.25">
      <c r="I87" s="123" t="s">
        <v>92</v>
      </c>
      <c r="J87" s="124">
        <v>1.080010800108E-3</v>
      </c>
      <c r="K87" s="96">
        <f>_xlfn.XLOOKUP(I87,'Local allocations'!$A$7:$A$139,'Local allocations'!$N$7:$N$139)</f>
        <v>1.08001E-3</v>
      </c>
      <c r="L87" s="97">
        <f>Table5[[#This Row],[Locality''s Allocation Percentage ]]-K87</f>
        <v>8.0010800003645077E-10</v>
      </c>
    </row>
    <row r="88" spans="9:12" s="13" customFormat="1" ht="18" customHeight="1" x14ac:dyDescent="0.25">
      <c r="I88" s="123" t="s">
        <v>93</v>
      </c>
      <c r="J88" s="124">
        <v>1.2050120501205E-2</v>
      </c>
      <c r="K88" s="96">
        <f>_xlfn.XLOOKUP(I88,'Local allocations'!$A$7:$A$139,'Local allocations'!$N$7:$N$139)</f>
        <v>1.2050099999999999E-2</v>
      </c>
      <c r="L88" s="97">
        <f>Table5[[#This Row],[Locality''s Allocation Percentage ]]-K88</f>
        <v>2.0501205000994505E-8</v>
      </c>
    </row>
    <row r="89" spans="9:12" s="13" customFormat="1" ht="18" customHeight="1" x14ac:dyDescent="0.25">
      <c r="I89" s="123" t="s">
        <v>94</v>
      </c>
      <c r="J89" s="124">
        <v>1.470014700147E-3</v>
      </c>
      <c r="K89" s="96">
        <f>_xlfn.XLOOKUP(I89,'Local allocations'!$A$7:$A$139,'Local allocations'!$N$7:$N$139)</f>
        <v>1.4700099999999999E-3</v>
      </c>
      <c r="L89" s="97">
        <f>Table5[[#This Row],[Locality''s Allocation Percentage ]]-K89</f>
        <v>4.700147000118518E-9</v>
      </c>
    </row>
    <row r="90" spans="9:12" s="13" customFormat="1" ht="18" customHeight="1" x14ac:dyDescent="0.25">
      <c r="I90" s="123" t="s">
        <v>95</v>
      </c>
      <c r="J90" s="124">
        <v>1.5600156001560001E-3</v>
      </c>
      <c r="K90" s="96">
        <f>_xlfn.XLOOKUP(I90,'Local allocations'!$A$7:$A$139,'Local allocations'!$N$7:$N$139)</f>
        <v>1.5600200000000001E-3</v>
      </c>
      <c r="L90" s="97">
        <f>Table5[[#This Row],[Locality''s Allocation Percentage ]]-K90</f>
        <v>-4.3998439999866357E-9</v>
      </c>
    </row>
    <row r="91" spans="9:12" s="13" customFormat="1" ht="18" customHeight="1" x14ac:dyDescent="0.25">
      <c r="I91" s="123" t="s">
        <v>96</v>
      </c>
      <c r="J91" s="124">
        <v>2.0470204702046999E-2</v>
      </c>
      <c r="K91" s="96">
        <f>_xlfn.XLOOKUP(I91,'Local allocations'!$A$7:$A$139,'Local allocations'!$N$7:$N$139)</f>
        <v>2.0470200000000001E-2</v>
      </c>
      <c r="L91" s="97">
        <f>Table5[[#This Row],[Locality''s Allocation Percentage ]]-K91</f>
        <v>4.7020469982894664E-9</v>
      </c>
    </row>
    <row r="92" spans="9:12" s="13" customFormat="1" ht="18" customHeight="1" x14ac:dyDescent="0.25">
      <c r="I92" s="123" t="s">
        <v>97</v>
      </c>
      <c r="J92" s="124">
        <v>3.3880338803387998E-2</v>
      </c>
      <c r="K92" s="96">
        <f>_xlfn.XLOOKUP(I92,'Local allocations'!$A$7:$A$139,'Local allocations'!$N$7:$N$139)</f>
        <v>3.3880300000000002E-2</v>
      </c>
      <c r="L92" s="97">
        <f>Table5[[#This Row],[Locality''s Allocation Percentage ]]-K92</f>
        <v>3.8803387995833827E-8</v>
      </c>
    </row>
    <row r="93" spans="9:12" s="13" customFormat="1" ht="18" customHeight="1" x14ac:dyDescent="0.25">
      <c r="I93" s="123" t="s">
        <v>98</v>
      </c>
      <c r="J93" s="124">
        <v>1.2200122001220001E-3</v>
      </c>
      <c r="K93" s="96">
        <f>_xlfn.XLOOKUP(I93,'Local allocations'!$A$7:$A$139,'Local allocations'!$N$7:$N$139)</f>
        <v>1.2200100000000001E-3</v>
      </c>
      <c r="L93" s="97">
        <f>Table5[[#This Row],[Locality''s Allocation Percentage ]]-K93</f>
        <v>2.2001219999491506E-9</v>
      </c>
    </row>
    <row r="94" spans="9:12" s="13" customFormat="1" ht="18" customHeight="1" x14ac:dyDescent="0.25">
      <c r="I94" s="123" t="s">
        <v>99</v>
      </c>
      <c r="J94" s="124">
        <v>1.2900129001290001E-3</v>
      </c>
      <c r="K94" s="96">
        <f>_xlfn.XLOOKUP(I94,'Local allocations'!$A$7:$A$139,'Local allocations'!$N$7:$N$139)</f>
        <v>1.2900100000000001E-3</v>
      </c>
      <c r="L94" s="97">
        <f>Table5[[#This Row],[Locality''s Allocation Percentage ]]-K94</f>
        <v>2.9001290000139207E-9</v>
      </c>
    </row>
    <row r="95" spans="9:12" s="13" customFormat="1" ht="18" customHeight="1" x14ac:dyDescent="0.25">
      <c r="I95" s="123" t="s">
        <v>100</v>
      </c>
      <c r="J95" s="124">
        <v>1.10001100011E-3</v>
      </c>
      <c r="K95" s="96">
        <f>_xlfn.XLOOKUP(I95,'Local allocations'!$A$7:$A$139,'Local allocations'!$N$7:$N$139)</f>
        <v>1.10001E-3</v>
      </c>
      <c r="L95" s="97">
        <f>Table5[[#This Row],[Locality''s Allocation Percentage ]]-K95</f>
        <v>1.0001100000239793E-9</v>
      </c>
    </row>
    <row r="96" spans="9:12" s="13" customFormat="1" ht="18" customHeight="1" x14ac:dyDescent="0.25">
      <c r="I96" s="123" t="s">
        <v>101</v>
      </c>
      <c r="J96" s="124">
        <v>1.3300133001329999E-3</v>
      </c>
      <c r="K96" s="96">
        <f>_xlfn.XLOOKUP(I96,'Local allocations'!$A$7:$A$139,'Local allocations'!$N$7:$N$139)</f>
        <v>1.33001E-3</v>
      </c>
      <c r="L96" s="97">
        <f>Table5[[#This Row],[Locality''s Allocation Percentage ]]-K96</f>
        <v>3.3001329999889778E-9</v>
      </c>
    </row>
    <row r="97" spans="9:12" s="13" customFormat="1" ht="18" customHeight="1" x14ac:dyDescent="0.25">
      <c r="I97" s="123" t="s">
        <v>102</v>
      </c>
      <c r="J97" s="124">
        <v>6.3800638006380099E-3</v>
      </c>
      <c r="K97" s="96">
        <f>_xlfn.XLOOKUP(I97,'Local allocations'!$A$7:$A$139,'Local allocations'!$N$7:$N$139)</f>
        <v>6.3800599999999999E-3</v>
      </c>
      <c r="L97" s="97">
        <f>Table5[[#This Row],[Locality''s Allocation Percentage ]]-K97</f>
        <v>3.8006380100388815E-9</v>
      </c>
    </row>
    <row r="98" spans="9:12" s="13" customFormat="1" ht="18" customHeight="1" x14ac:dyDescent="0.25">
      <c r="I98" s="123" t="s">
        <v>103</v>
      </c>
      <c r="J98" s="124">
        <v>4.1000410004099997E-3</v>
      </c>
      <c r="K98" s="96">
        <f>_xlfn.XLOOKUP(I98,'Local allocations'!$A$7:$A$139,'Local allocations'!$N$7:$N$139)</f>
        <v>4.1000400000000001E-3</v>
      </c>
      <c r="L98" s="97">
        <f>Table5[[#This Row],[Locality''s Allocation Percentage ]]-K98</f>
        <v>1.0004099996324678E-9</v>
      </c>
    </row>
    <row r="99" spans="9:12" s="13" customFormat="1" ht="18" customHeight="1" x14ac:dyDescent="0.25">
      <c r="I99" s="123" t="s">
        <v>104</v>
      </c>
      <c r="J99" s="124">
        <v>3.2900329003290002E-3</v>
      </c>
      <c r="K99" s="96">
        <f>_xlfn.XLOOKUP(I99,'Local allocations'!$A$7:$A$139,'Local allocations'!$N$7:$N$139)</f>
        <v>3.2900300000000002E-3</v>
      </c>
      <c r="L99" s="97">
        <f>Table5[[#This Row],[Locality''s Allocation Percentage ]]-K99</f>
        <v>2.9003289999697535E-9</v>
      </c>
    </row>
    <row r="100" spans="9:12" s="13" customFormat="1" ht="18" customHeight="1" x14ac:dyDescent="0.25">
      <c r="I100" s="123" t="s">
        <v>105</v>
      </c>
      <c r="J100" s="124">
        <v>3.9500395003950004E-3</v>
      </c>
      <c r="K100" s="96">
        <f>_xlfn.XLOOKUP(I100,'Local allocations'!$A$7:$A$139,'Local allocations'!$N$7:$N$139)</f>
        <v>3.9500400000000001E-3</v>
      </c>
      <c r="L100" s="97">
        <f>Table5[[#This Row],[Locality''s Allocation Percentage ]]-K100</f>
        <v>-4.9960499973189521E-10</v>
      </c>
    </row>
    <row r="101" spans="9:12" s="13" customFormat="1" ht="18" customHeight="1" x14ac:dyDescent="0.25">
      <c r="I101" s="123" t="s">
        <v>106</v>
      </c>
      <c r="J101" s="124">
        <v>7.5000750007500096E-3</v>
      </c>
      <c r="K101" s="96">
        <f>_xlfn.XLOOKUP(I101,'Local allocations'!$A$7:$A$139,'Local allocations'!$N$7:$N$139)</f>
        <v>7.5000800000000001E-3</v>
      </c>
      <c r="L101" s="97">
        <f>Table5[[#This Row],[Locality''s Allocation Percentage ]]-K101</f>
        <v>-4.9992499905407439E-9</v>
      </c>
    </row>
    <row r="102" spans="9:12" s="13" customFormat="1" ht="18" customHeight="1" x14ac:dyDescent="0.25">
      <c r="I102" s="123" t="s">
        <v>107</v>
      </c>
      <c r="J102" s="124">
        <v>1.860018600186E-3</v>
      </c>
      <c r="K102" s="96">
        <f>_xlfn.XLOOKUP(I102,'Local allocations'!$A$7:$A$139,'Local allocations'!$N$7:$N$139)</f>
        <v>1.86002E-3</v>
      </c>
      <c r="L102" s="97">
        <f>Table5[[#This Row],[Locality''s Allocation Percentage ]]-K102</f>
        <v>-1.3998139999568671E-9</v>
      </c>
    </row>
    <row r="103" spans="9:12" s="13" customFormat="1" ht="18" customHeight="1" x14ac:dyDescent="0.25">
      <c r="I103" s="123" t="s">
        <v>108</v>
      </c>
      <c r="J103" s="124">
        <v>1.9370193701936999E-2</v>
      </c>
      <c r="K103" s="96">
        <f>_xlfn.XLOOKUP(I103,'Local allocations'!$A$7:$A$139,'Local allocations'!$N$7:$N$139)</f>
        <v>1.9370200000000001E-2</v>
      </c>
      <c r="L103" s="97">
        <f>Table5[[#This Row],[Locality''s Allocation Percentage ]]-K103</f>
        <v>-6.2980630016751249E-9</v>
      </c>
    </row>
    <row r="104" spans="9:12" s="13" customFormat="1" ht="18" customHeight="1" x14ac:dyDescent="0.25">
      <c r="I104" s="123" t="s">
        <v>109</v>
      </c>
      <c r="J104" s="124">
        <v>2.6200262002619998E-3</v>
      </c>
      <c r="K104" s="96">
        <f>_xlfn.XLOOKUP(I104,'Local allocations'!$A$7:$A$139,'Local allocations'!$N$7:$N$139)</f>
        <v>2.6200300000000002E-3</v>
      </c>
      <c r="L104" s="97">
        <f>Table5[[#This Row],[Locality''s Allocation Percentage ]]-K104</f>
        <v>-3.7997380003713943E-9</v>
      </c>
    </row>
    <row r="105" spans="9:12" s="13" customFormat="1" ht="18" customHeight="1" x14ac:dyDescent="0.25">
      <c r="I105" s="123" t="s">
        <v>110</v>
      </c>
      <c r="J105" s="124">
        <v>1.9000190001899999E-3</v>
      </c>
      <c r="K105" s="96">
        <f>_xlfn.XLOOKUP(I105,'Local allocations'!$A$7:$A$139,'Local allocations'!$N$7:$N$139)</f>
        <v>1.9000200000000001E-3</v>
      </c>
      <c r="L105" s="97">
        <f>Table5[[#This Row],[Locality''s Allocation Percentage ]]-K105</f>
        <v>-9.9981000019865041E-10</v>
      </c>
    </row>
    <row r="106" spans="9:12" s="13" customFormat="1" ht="18" customHeight="1" x14ac:dyDescent="0.25">
      <c r="I106" s="123" t="s">
        <v>111</v>
      </c>
      <c r="J106" s="124">
        <v>3.510035100351E-3</v>
      </c>
      <c r="K106" s="96">
        <f>_xlfn.XLOOKUP(I106,'Local allocations'!$A$7:$A$139,'Local allocations'!$N$7:$N$139)</f>
        <v>3.5100399999999999E-3</v>
      </c>
      <c r="L106" s="97">
        <f>Table5[[#This Row],[Locality''s Allocation Percentage ]]-K106</f>
        <v>-4.8996489998912041E-9</v>
      </c>
    </row>
    <row r="107" spans="9:12" s="13" customFormat="1" ht="18" customHeight="1" x14ac:dyDescent="0.25">
      <c r="I107" s="123" t="s">
        <v>112</v>
      </c>
      <c r="J107" s="124">
        <v>3.5560355603555999E-2</v>
      </c>
      <c r="K107" s="96">
        <f>_xlfn.XLOOKUP(I107,'Local allocations'!$A$7:$A$139,'Local allocations'!$N$7:$N$139)</f>
        <v>3.5560399999999999E-2</v>
      </c>
      <c r="L107" s="97">
        <f>Table5[[#This Row],[Locality''s Allocation Percentage ]]-K107</f>
        <v>-4.4396444000283086E-8</v>
      </c>
    </row>
    <row r="108" spans="9:12" s="13" customFormat="1" ht="18" customHeight="1" x14ac:dyDescent="0.25">
      <c r="I108" s="123" t="s">
        <v>113</v>
      </c>
      <c r="J108" s="124">
        <v>1.0610106101060999E-2</v>
      </c>
      <c r="K108" s="96">
        <f>_xlfn.XLOOKUP(I108,'Local allocations'!$A$7:$A$139,'Local allocations'!$N$7:$N$139)</f>
        <v>1.0610100000000001E-2</v>
      </c>
      <c r="L108" s="97">
        <f>Table5[[#This Row],[Locality''s Allocation Percentage ]]-K108</f>
        <v>6.1010609984230024E-9</v>
      </c>
    </row>
    <row r="109" spans="9:12" s="13" customFormat="1" ht="18" customHeight="1" x14ac:dyDescent="0.25">
      <c r="I109" s="123" t="s">
        <v>114</v>
      </c>
      <c r="J109" s="124">
        <v>2.4700247002470001E-3</v>
      </c>
      <c r="K109" s="96">
        <f>_xlfn.XLOOKUP(I109,'Local allocations'!$A$7:$A$139,'Local allocations'!$N$7:$N$139)</f>
        <v>2.4700199999999999E-3</v>
      </c>
      <c r="L109" s="97">
        <f>Table5[[#This Row],[Locality''s Allocation Percentage ]]-K109</f>
        <v>4.7002470002048546E-9</v>
      </c>
    </row>
    <row r="110" spans="9:12" s="13" customFormat="1" ht="18" customHeight="1" x14ac:dyDescent="0.25">
      <c r="I110" s="123" t="s">
        <v>115</v>
      </c>
      <c r="J110" s="124">
        <v>9.1000910009099998E-4</v>
      </c>
      <c r="K110" s="96">
        <f>_xlfn.XLOOKUP(I110,'Local allocations'!$A$7:$A$139,'Local allocations'!$N$7:$N$139)</f>
        <v>9.1000900000000003E-4</v>
      </c>
      <c r="L110" s="97">
        <f>Table5[[#This Row],[Locality''s Allocation Percentage ]]-K110</f>
        <v>1.0009099994136295E-10</v>
      </c>
    </row>
    <row r="111" spans="9:12" s="13" customFormat="1" ht="18" customHeight="1" x14ac:dyDescent="0.25">
      <c r="I111" s="123" t="s">
        <v>116</v>
      </c>
      <c r="J111" s="124">
        <v>8.4000840008400005E-4</v>
      </c>
      <c r="K111" s="96">
        <f>_xlfn.XLOOKUP(I111,'Local allocations'!$A$7:$A$139,'Local allocations'!$N$7:$N$139)</f>
        <v>8.4000800000000005E-4</v>
      </c>
      <c r="L111" s="97">
        <f>Table5[[#This Row],[Locality''s Allocation Percentage ]]-K111</f>
        <v>4.0008400000075828E-10</v>
      </c>
    </row>
    <row r="112" spans="9:12" s="13" customFormat="1" ht="18" customHeight="1" x14ac:dyDescent="0.25">
      <c r="I112" s="123" t="s">
        <v>117</v>
      </c>
      <c r="J112" s="124">
        <v>4.2250422504224998E-2</v>
      </c>
      <c r="K112" s="96">
        <f>_xlfn.XLOOKUP(I112,'Local allocations'!$A$7:$A$139,'Local allocations'!$N$7:$N$139)</f>
        <v>4.22504E-2</v>
      </c>
      <c r="L112" s="97">
        <f>Table5[[#This Row],[Locality''s Allocation Percentage ]]-K112</f>
        <v>2.2504224997388356E-8</v>
      </c>
    </row>
    <row r="113" spans="9:12" s="13" customFormat="1" ht="18" customHeight="1" x14ac:dyDescent="0.25">
      <c r="I113" s="123" t="s">
        <v>118</v>
      </c>
      <c r="J113" s="124">
        <v>1.4980149801498E-2</v>
      </c>
      <c r="K113" s="96">
        <f>_xlfn.XLOOKUP(I113,'Local allocations'!$A$7:$A$139,'Local allocations'!$N$7:$N$139)</f>
        <v>1.49801E-2</v>
      </c>
      <c r="L113" s="97">
        <f>Table5[[#This Row],[Locality''s Allocation Percentage ]]-K113</f>
        <v>4.9801498000143218E-8</v>
      </c>
    </row>
    <row r="114" spans="9:12" s="13" customFormat="1" ht="18" customHeight="1" x14ac:dyDescent="0.25">
      <c r="I114" s="123" t="s">
        <v>119</v>
      </c>
      <c r="J114" s="124">
        <v>1.8590185901858999E-2</v>
      </c>
      <c r="K114" s="96">
        <f>_xlfn.XLOOKUP(I114,'Local allocations'!$A$7:$A$139,'Local allocations'!$N$7:$N$139)</f>
        <v>1.8590200000000001E-2</v>
      </c>
      <c r="L114" s="97">
        <f>Table5[[#This Row],[Locality''s Allocation Percentage ]]-K114</f>
        <v>-1.4098141001839259E-8</v>
      </c>
    </row>
    <row r="115" spans="9:12" s="13" customFormat="1" ht="18" customHeight="1" x14ac:dyDescent="0.25">
      <c r="I115" s="123" t="s">
        <v>120</v>
      </c>
      <c r="J115" s="124">
        <v>2.3500235002349998E-3</v>
      </c>
      <c r="K115" s="96">
        <f>_xlfn.XLOOKUP(I115,'Local allocations'!$A$7:$A$139,'Local allocations'!$N$7:$N$139)</f>
        <v>2.35002E-3</v>
      </c>
      <c r="L115" s="97">
        <f>Table5[[#This Row],[Locality''s Allocation Percentage ]]-K115</f>
        <v>3.5002349998460025E-9</v>
      </c>
    </row>
    <row r="116" spans="9:12" s="13" customFormat="1" ht="18" customHeight="1" x14ac:dyDescent="0.25">
      <c r="I116" s="123" t="s">
        <v>121</v>
      </c>
      <c r="J116" s="124">
        <v>6.1400614006140103E-3</v>
      </c>
      <c r="K116" s="96">
        <f>_xlfn.XLOOKUP(I116,'Local allocations'!$A$7:$A$139,'Local allocations'!$N$7:$N$139)</f>
        <v>6.1400600000000001E-3</v>
      </c>
      <c r="L116" s="97">
        <f>Table5[[#This Row],[Locality''s Allocation Percentage ]]-K116</f>
        <v>1.4006140101885389E-9</v>
      </c>
    </row>
    <row r="117" spans="9:12" s="13" customFormat="1" ht="18" customHeight="1" x14ac:dyDescent="0.25">
      <c r="I117" s="123" t="s">
        <v>122</v>
      </c>
      <c r="J117" s="124">
        <v>1.0640106401064E-2</v>
      </c>
      <c r="K117" s="96">
        <f>_xlfn.XLOOKUP(I117,'Local allocations'!$A$7:$A$139,'Local allocations'!$N$7:$N$139)</f>
        <v>1.06401E-2</v>
      </c>
      <c r="L117" s="97">
        <f>Table5[[#This Row],[Locality''s Allocation Percentage ]]-K117</f>
        <v>6.4010640000305985E-9</v>
      </c>
    </row>
    <row r="118" spans="9:12" s="13" customFormat="1" ht="18" customHeight="1" x14ac:dyDescent="0.25">
      <c r="I118" s="123" t="s">
        <v>123</v>
      </c>
      <c r="J118" s="124">
        <v>7.8600786007860107E-3</v>
      </c>
      <c r="K118" s="96">
        <f>_xlfn.XLOOKUP(I118,'Local allocations'!$A$7:$A$139,'Local allocations'!$N$7:$N$139)</f>
        <v>7.8600800000000002E-3</v>
      </c>
      <c r="L118" s="97">
        <f>Table5[[#This Row],[Locality''s Allocation Percentage ]]-K118</f>
        <v>-1.3992139894641875E-9</v>
      </c>
    </row>
    <row r="119" spans="9:12" s="13" customFormat="1" ht="18" customHeight="1" x14ac:dyDescent="0.25">
      <c r="I119" s="123" t="s">
        <v>124</v>
      </c>
      <c r="J119" s="124">
        <v>4.2100421004210003E-3</v>
      </c>
      <c r="K119" s="96">
        <f>_xlfn.XLOOKUP(I119,'Local allocations'!$A$7:$A$139,'Local allocations'!$N$7:$N$139)</f>
        <v>4.21004E-3</v>
      </c>
      <c r="L119" s="97">
        <f>Table5[[#This Row],[Locality''s Allocation Percentage ]]-K119</f>
        <v>2.1004210003228163E-9</v>
      </c>
    </row>
    <row r="120" spans="9:12" s="13" customFormat="1" ht="18" customHeight="1" x14ac:dyDescent="0.25">
      <c r="I120" s="123" t="s">
        <v>125</v>
      </c>
      <c r="J120" s="124">
        <v>6.6000660006600102E-3</v>
      </c>
      <c r="K120" s="96">
        <f>_xlfn.XLOOKUP(I120,'Local allocations'!$A$7:$A$139,'Local allocations'!$N$7:$N$139)</f>
        <v>6.6000700000000004E-3</v>
      </c>
      <c r="L120" s="97">
        <f>Table5[[#This Row],[Locality''s Allocation Percentage ]]-K120</f>
        <v>-3.9993399902557569E-9</v>
      </c>
    </row>
    <row r="121" spans="9:12" s="13" customFormat="1" ht="18" customHeight="1" x14ac:dyDescent="0.25">
      <c r="I121" s="123" t="s">
        <v>126</v>
      </c>
      <c r="J121" s="124">
        <v>5.9200592005920101E-3</v>
      </c>
      <c r="K121" s="96">
        <f>_xlfn.XLOOKUP(I121,'Local allocations'!$A$7:$A$139,'Local allocations'!$N$7:$N$139)</f>
        <v>5.9200600000000004E-3</v>
      </c>
      <c r="L121" s="97">
        <f>Table5[[#This Row],[Locality''s Allocation Percentage ]]-K121</f>
        <v>-7.9940799032479637E-10</v>
      </c>
    </row>
    <row r="122" spans="9:12" s="13" customFormat="1" ht="18" customHeight="1" x14ac:dyDescent="0.25">
      <c r="I122" s="123" t="s">
        <v>127</v>
      </c>
      <c r="J122" s="124">
        <v>1.370013700137E-3</v>
      </c>
      <c r="K122" s="96">
        <f>_xlfn.XLOOKUP(I122,'Local allocations'!$A$7:$A$139,'Local allocations'!$N$7:$N$139)</f>
        <v>1.3700100000000001E-3</v>
      </c>
      <c r="L122" s="97">
        <f>Table5[[#This Row],[Locality''s Allocation Percentage ]]-K122</f>
        <v>3.7001369999640349E-9</v>
      </c>
    </row>
    <row r="123" spans="9:12" s="13" customFormat="1" ht="18" customHeight="1" x14ac:dyDescent="0.25">
      <c r="I123" s="123" t="s">
        <v>128</v>
      </c>
      <c r="J123" s="124">
        <v>1.4170141701417E-2</v>
      </c>
      <c r="K123" s="96">
        <f>_xlfn.XLOOKUP(I123,'Local allocations'!$A$7:$A$139,'Local allocations'!$N$7:$N$139)</f>
        <v>1.41701E-2</v>
      </c>
      <c r="L123" s="97">
        <f>Table5[[#This Row],[Locality''s Allocation Percentage ]]-K123</f>
        <v>4.1701417000106211E-8</v>
      </c>
    </row>
    <row r="124" spans="9:12" s="13" customFormat="1" ht="18" customHeight="1" x14ac:dyDescent="0.25">
      <c r="I124" s="123" t="s">
        <v>129</v>
      </c>
      <c r="J124" s="124">
        <v>1.4430144301443E-2</v>
      </c>
      <c r="K124" s="96">
        <f>_xlfn.XLOOKUP(I124,'Local allocations'!$A$7:$A$139,'Local allocations'!$N$7:$N$139)</f>
        <v>1.44301E-2</v>
      </c>
      <c r="L124" s="97">
        <f>Table5[[#This Row],[Locality''s Allocation Percentage ]]-K124</f>
        <v>4.4301443000160923E-8</v>
      </c>
    </row>
    <row r="125" spans="9:12" s="13" customFormat="1" ht="18" customHeight="1" x14ac:dyDescent="0.25">
      <c r="I125" s="123" t="s">
        <v>130</v>
      </c>
      <c r="J125" s="124">
        <v>4.4000440004400001E-3</v>
      </c>
      <c r="K125" s="96">
        <f>_xlfn.XLOOKUP(I125,'Local allocations'!$A$7:$A$139,'Local allocations'!$N$7:$N$139)</f>
        <v>4.40004E-3</v>
      </c>
      <c r="L125" s="97">
        <f>Table5[[#This Row],[Locality''s Allocation Percentage ]]-K125</f>
        <v>4.0004400000959173E-9</v>
      </c>
    </row>
    <row r="126" spans="9:12" s="13" customFormat="1" ht="18" customHeight="1" x14ac:dyDescent="0.25">
      <c r="I126" s="123" t="s">
        <v>131</v>
      </c>
      <c r="J126" s="124">
        <v>7.1000710007100096E-3</v>
      </c>
      <c r="K126" s="96">
        <f>_xlfn.XLOOKUP(I126,'Local allocations'!$A$7:$A$139,'Local allocations'!$N$7:$N$139)</f>
        <v>7.10007E-3</v>
      </c>
      <c r="L126" s="97">
        <f>Table5[[#This Row],[Locality''s Allocation Percentage ]]-K126</f>
        <v>1.0007100096492971E-9</v>
      </c>
    </row>
    <row r="127" spans="9:12" s="13" customFormat="1" ht="18" customHeight="1" x14ac:dyDescent="0.25">
      <c r="I127" s="123" t="s">
        <v>132</v>
      </c>
      <c r="J127" s="124">
        <v>5.8000580005799997E-4</v>
      </c>
      <c r="K127" s="96">
        <f>_xlfn.XLOOKUP(I127,'Local allocations'!$A$7:$A$139,'Local allocations'!$N$7:$N$139)</f>
        <v>5.8000599999999999E-4</v>
      </c>
      <c r="L127" s="97">
        <f>Table5[[#This Row],[Locality''s Allocation Percentage ]]-K127</f>
        <v>-1.9994200002246276E-10</v>
      </c>
    </row>
    <row r="128" spans="9:12" s="13" customFormat="1" ht="18" customHeight="1" x14ac:dyDescent="0.25">
      <c r="I128" s="123" t="s">
        <v>133</v>
      </c>
      <c r="J128" s="124">
        <v>8.1000810008099999E-4</v>
      </c>
      <c r="K128" s="96">
        <f>_xlfn.XLOOKUP(I128,'Local allocations'!$A$7:$A$139,'Local allocations'!$N$7:$N$139)</f>
        <v>8.1000799999999997E-4</v>
      </c>
      <c r="L128" s="97">
        <f>Table5[[#This Row],[Locality''s Allocation Percentage ]]-K128</f>
        <v>1.0008100001946546E-10</v>
      </c>
    </row>
    <row r="129" spans="9:12" s="13" customFormat="1" ht="18" customHeight="1" x14ac:dyDescent="0.25">
      <c r="I129" s="123" t="s">
        <v>134</v>
      </c>
      <c r="J129" s="124">
        <v>1.6060160601606002E-2</v>
      </c>
      <c r="K129" s="96">
        <f>_xlfn.XLOOKUP(I129,'Local allocations'!$A$7:$A$139,'Local allocations'!$N$7:$N$139)</f>
        <v>1.60602E-2</v>
      </c>
      <c r="L129" s="97">
        <f>Table5[[#This Row],[Locality''s Allocation Percentage ]]-K129</f>
        <v>-3.9398393998635317E-8</v>
      </c>
    </row>
    <row r="130" spans="9:12" s="13" customFormat="1" ht="18" customHeight="1" x14ac:dyDescent="0.25">
      <c r="I130" s="123" t="s">
        <v>135</v>
      </c>
      <c r="J130" s="124">
        <v>4.8590485904859003E-2</v>
      </c>
      <c r="K130" s="96">
        <f>_xlfn.XLOOKUP(I130,'Local allocations'!$A$7:$A$139,'Local allocations'!$N$7:$N$139)</f>
        <v>4.8590500000000002E-2</v>
      </c>
      <c r="L130" s="97">
        <f>Table5[[#This Row],[Locality''s Allocation Percentage ]]-K130</f>
        <v>-1.4095140998815481E-8</v>
      </c>
    </row>
    <row r="131" spans="9:12" s="13" customFormat="1" ht="18" customHeight="1" x14ac:dyDescent="0.25">
      <c r="I131" s="123" t="s">
        <v>136</v>
      </c>
      <c r="J131" s="124">
        <v>7.6600766007660099E-3</v>
      </c>
      <c r="K131" s="96">
        <f>_xlfn.XLOOKUP(I131,'Local allocations'!$A$7:$A$139,'Local allocations'!$N$7:$N$139)</f>
        <v>7.6600799999999997E-3</v>
      </c>
      <c r="L131" s="97">
        <f>Table5[[#This Row],[Locality''s Allocation Percentage ]]-K131</f>
        <v>-3.3992339897731538E-9</v>
      </c>
    </row>
    <row r="132" spans="9:12" s="13" customFormat="1" ht="18" customHeight="1" x14ac:dyDescent="0.25">
      <c r="I132" s="123" t="s">
        <v>137</v>
      </c>
      <c r="J132" s="124">
        <v>9.9600996009960099E-3</v>
      </c>
      <c r="K132" s="96">
        <f>_xlfn.XLOOKUP(I132,'Local allocations'!$A$7:$A$139,'Local allocations'!$N$7:$N$139)</f>
        <v>9.9600999999999995E-3</v>
      </c>
      <c r="L132" s="97">
        <f>Table5[[#This Row],[Locality''s Allocation Percentage ]]-K132</f>
        <v>-3.9900398957071204E-10</v>
      </c>
    </row>
    <row r="133" spans="9:12" s="13" customFormat="1" ht="18" customHeight="1" x14ac:dyDescent="0.25">
      <c r="I133" s="123" t="s">
        <v>138</v>
      </c>
      <c r="J133" s="124">
        <v>3.6300363003630002E-3</v>
      </c>
      <c r="K133" s="96">
        <f>_xlfn.XLOOKUP(I133,'Local allocations'!$A$7:$A$139,'Local allocations'!$N$7:$N$139)</f>
        <v>3.6300400000000002E-3</v>
      </c>
      <c r="L133" s="97">
        <f>Table5[[#This Row],[Locality''s Allocation Percentage ]]-K133</f>
        <v>-3.6996369999660328E-9</v>
      </c>
    </row>
    <row r="134" spans="9:12" s="13" customFormat="1" ht="18" customHeight="1" x14ac:dyDescent="0.25">
      <c r="I134" s="123" t="s">
        <v>139</v>
      </c>
      <c r="J134" s="124">
        <v>2.230022300223E-3</v>
      </c>
      <c r="K134" s="96">
        <f>_xlfn.XLOOKUP(I134,'Local allocations'!$A$7:$A$139,'Local allocations'!$N$7:$N$139)</f>
        <v>2.2300200000000001E-3</v>
      </c>
      <c r="L134" s="97">
        <f>Table5[[#This Row],[Locality''s Allocation Percentage ]]-K134</f>
        <v>2.3002229999208312E-9</v>
      </c>
    </row>
    <row r="135" spans="9:12" s="13" customFormat="1" ht="18" customHeight="1" x14ac:dyDescent="0.25">
      <c r="I135" s="123" t="s">
        <v>140</v>
      </c>
      <c r="J135" s="124">
        <v>8.6000860008599998E-4</v>
      </c>
      <c r="K135" s="96">
        <f>_xlfn.XLOOKUP(I135,'Local allocations'!$A$7:$A$139,'Local allocations'!$N$7:$N$139)</f>
        <v>8.6000900000000001E-4</v>
      </c>
      <c r="L135" s="97">
        <f>Table5[[#This Row],[Locality''s Allocation Percentage ]]-K135</f>
        <v>-3.9991400002745842E-10</v>
      </c>
    </row>
    <row r="136" spans="9:12" s="13" customFormat="1" ht="18" customHeight="1" x14ac:dyDescent="0.25">
      <c r="I136" s="123" t="s">
        <v>141</v>
      </c>
      <c r="J136" s="124">
        <v>6.4900649006490096E-3</v>
      </c>
      <c r="K136" s="96">
        <f>_xlfn.XLOOKUP(I136,'Local allocations'!$A$7:$A$139,'Local allocations'!$N$7:$N$139)</f>
        <v>6.4900599999999998E-3</v>
      </c>
      <c r="L136" s="97">
        <f>Table5[[#This Row],[Locality''s Allocation Percentage ]]-K136</f>
        <v>4.9006490098618682E-9</v>
      </c>
    </row>
    <row r="137" spans="9:12" s="13" customFormat="1" ht="18" customHeight="1" x14ac:dyDescent="0.25">
      <c r="I137" s="123" t="s">
        <v>142</v>
      </c>
      <c r="J137" s="124">
        <v>1.7560175601756E-2</v>
      </c>
      <c r="K137" s="96">
        <f>_xlfn.XLOOKUP(I137,'Local allocations'!$A$7:$A$139,'Local allocations'!$N$7:$N$139)</f>
        <v>1.7560200000000002E-2</v>
      </c>
      <c r="L137" s="97">
        <f>Table5[[#This Row],[Locality''s Allocation Percentage ]]-K137</f>
        <v>-2.439824400152224E-8</v>
      </c>
    </row>
    <row r="138" spans="9:12" s="13" customFormat="1" ht="18" customHeight="1" x14ac:dyDescent="0.25">
      <c r="I138" s="123" t="s">
        <v>143</v>
      </c>
      <c r="J138" s="124">
        <v>6.4200642006420096E-3</v>
      </c>
      <c r="K138" s="96">
        <f>_xlfn.XLOOKUP(I138,'Local allocations'!$A$7:$A$139,'Local allocations'!$N$7:$N$139)</f>
        <v>6.42006E-3</v>
      </c>
      <c r="L138" s="97">
        <f>Table5[[#This Row],[Locality''s Allocation Percentage ]]-K138</f>
        <v>4.2006420095802577E-9</v>
      </c>
    </row>
    <row r="139" spans="9:12" s="13" customFormat="1" ht="18" customHeight="1" x14ac:dyDescent="0.25">
      <c r="I139" s="137" t="s">
        <v>144</v>
      </c>
      <c r="J139" s="138">
        <v>5.6100561005610096E-3</v>
      </c>
      <c r="K139" s="96">
        <f>_xlfn.XLOOKUP(I139,'Local allocations'!$A$7:$A$139,'Local allocations'!$N$7:$N$139)</f>
        <v>5.61006E-3</v>
      </c>
      <c r="L139" s="97">
        <f>Table5[[#This Row],[Locality''s Allocation Percentage ]]-K139</f>
        <v>-3.8994389904567495E-9</v>
      </c>
    </row>
    <row r="140" spans="9:12" s="13" customFormat="1" ht="18" customHeight="1" x14ac:dyDescent="0.25">
      <c r="I140" s="110"/>
      <c r="J140" s="110"/>
    </row>
    <row r="141" spans="9:12" s="13" customFormat="1" ht="18" customHeight="1" x14ac:dyDescent="0.25">
      <c r="I141" s="110"/>
      <c r="J141" s="110"/>
    </row>
    <row r="142" spans="9:12" s="13" customFormat="1" ht="18" customHeight="1" x14ac:dyDescent="0.25">
      <c r="I142" s="118"/>
      <c r="J142" s="118"/>
    </row>
  </sheetData>
  <sheetProtection algorithmName="SHA-512" hashValue="RetTHw8UjrsWinN7au9BzMsjxG72dLyguuiQBAtrewAAkll3E7L2WjFJgAuhX4jeKwRRw1MyRYqdd1gu2NGLAQ==" saltValue="VNxhWFUSI1/hf8XAbAUvaw==" spinCount="100000" sheet="1" objects="1" scenarios="1"/>
  <mergeCells count="5">
    <mergeCell ref="B34:E35"/>
    <mergeCell ref="B6:F6"/>
    <mergeCell ref="B27:F31"/>
    <mergeCell ref="B2:J2"/>
    <mergeCell ref="B3:J3"/>
  </mergeCells>
  <phoneticPr fontId="1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W62"/>
  <sheetViews>
    <sheetView zoomScaleNormal="100" workbookViewId="0"/>
  </sheetViews>
  <sheetFormatPr defaultColWidth="8.5" defaultRowHeight="15.75" x14ac:dyDescent="0.25"/>
  <cols>
    <col min="1" max="1" width="21.375" style="36" customWidth="1"/>
    <col min="2" max="19" width="20.625" style="34" customWidth="1"/>
    <col min="20" max="20" width="20.625" style="35" customWidth="1"/>
    <col min="21" max="21" width="18.5" style="36" bestFit="1" customWidth="1"/>
    <col min="22" max="22" width="23.5" style="36" customWidth="1"/>
    <col min="23" max="24" width="8.5" style="36"/>
    <col min="25" max="25" width="9.625" style="36" bestFit="1" customWidth="1"/>
    <col min="26" max="16384" width="8.5" style="36"/>
  </cols>
  <sheetData>
    <row r="1" spans="1:23" x14ac:dyDescent="0.25">
      <c r="A1" s="31" t="s">
        <v>336</v>
      </c>
      <c r="B1" s="6"/>
      <c r="C1" s="6"/>
      <c r="D1" s="6"/>
      <c r="E1" s="6"/>
      <c r="F1" s="6"/>
      <c r="G1" s="6"/>
      <c r="H1" s="6"/>
    </row>
    <row r="2" spans="1:23" ht="64.150000000000006" customHeight="1" x14ac:dyDescent="0.25">
      <c r="A2" s="72">
        <v>1</v>
      </c>
      <c r="B2" s="283" t="s">
        <v>338</v>
      </c>
      <c r="C2" s="283"/>
      <c r="D2" s="283"/>
      <c r="E2" s="283"/>
      <c r="F2" s="283"/>
      <c r="G2" s="283"/>
      <c r="H2" s="114"/>
      <c r="I2" s="114"/>
      <c r="J2" s="114"/>
    </row>
    <row r="3" spans="1:23" x14ac:dyDescent="0.25">
      <c r="A3" s="37"/>
      <c r="B3" s="32"/>
      <c r="C3" s="32"/>
      <c r="D3" s="33"/>
    </row>
    <row r="4" spans="1:23" ht="16.5" thickBot="1" x14ac:dyDescent="0.3"/>
    <row r="5" spans="1:23" x14ac:dyDescent="0.25">
      <c r="A5" s="112" t="s">
        <v>334</v>
      </c>
      <c r="E5" s="284" t="s">
        <v>211</v>
      </c>
      <c r="F5" s="285"/>
      <c r="G5" s="286"/>
    </row>
    <row r="6" spans="1:23" ht="16.5" thickBot="1" x14ac:dyDescent="0.3">
      <c r="E6" s="287"/>
      <c r="F6" s="288"/>
      <c r="G6" s="289"/>
    </row>
    <row r="8" spans="1:23" x14ac:dyDescent="0.25">
      <c r="A8" s="140" t="s">
        <v>145</v>
      </c>
      <c r="B8" s="141">
        <v>2.2801150757E-2</v>
      </c>
      <c r="C8" s="142" t="s">
        <v>146</v>
      </c>
      <c r="D8" s="41"/>
      <c r="E8" s="41"/>
      <c r="F8" s="41"/>
      <c r="G8" s="41"/>
      <c r="H8" s="41"/>
      <c r="I8" s="41"/>
      <c r="J8" s="41"/>
      <c r="K8" s="41"/>
      <c r="L8" s="41"/>
      <c r="M8" s="41"/>
      <c r="N8" s="41"/>
      <c r="O8" s="41"/>
      <c r="P8" s="41"/>
      <c r="Q8" s="41"/>
      <c r="R8" s="41"/>
      <c r="S8" s="41"/>
      <c r="T8" s="42"/>
      <c r="U8" s="43"/>
      <c r="V8" s="43"/>
    </row>
    <row r="9" spans="1:23" x14ac:dyDescent="0.25">
      <c r="A9" s="140" t="s">
        <v>147</v>
      </c>
      <c r="B9" s="141">
        <v>3.7333854452E-2</v>
      </c>
      <c r="C9" s="142" t="s">
        <v>148</v>
      </c>
      <c r="D9" s="41"/>
      <c r="E9" s="41"/>
      <c r="F9" s="41"/>
      <c r="G9" s="41"/>
      <c r="H9" s="41"/>
      <c r="I9" s="41"/>
      <c r="J9" s="41"/>
      <c r="K9" s="41"/>
      <c r="L9" s="41"/>
      <c r="M9" s="41"/>
      <c r="N9" s="41"/>
      <c r="O9" s="41"/>
      <c r="P9" s="41"/>
      <c r="Q9" s="41"/>
      <c r="R9" s="41"/>
      <c r="S9" s="41"/>
      <c r="T9" s="42"/>
      <c r="U9" s="43"/>
      <c r="V9" s="43"/>
    </row>
    <row r="10" spans="1:23" ht="16.5" thickBot="1" x14ac:dyDescent="0.3">
      <c r="A10" s="38"/>
      <c r="B10" s="39"/>
      <c r="C10" s="40"/>
      <c r="D10" s="41"/>
      <c r="E10" s="41"/>
      <c r="F10" s="41"/>
      <c r="G10" s="41"/>
      <c r="H10" s="41"/>
      <c r="I10" s="41"/>
      <c r="J10" s="41"/>
      <c r="K10" s="41"/>
      <c r="L10" s="41"/>
      <c r="M10" s="41"/>
      <c r="N10" s="41"/>
      <c r="O10" s="41"/>
      <c r="P10" s="41"/>
      <c r="Q10" s="41"/>
      <c r="R10" s="41"/>
      <c r="S10" s="41"/>
      <c r="T10" s="42"/>
      <c r="U10" s="43"/>
      <c r="V10" s="43"/>
      <c r="W10" s="43"/>
    </row>
    <row r="11" spans="1:23" ht="16.5" thickBot="1" x14ac:dyDescent="0.3">
      <c r="A11" s="43"/>
      <c r="B11" s="44" t="s">
        <v>191</v>
      </c>
      <c r="C11" s="45" t="s">
        <v>192</v>
      </c>
      <c r="D11" s="45" t="s">
        <v>193</v>
      </c>
      <c r="E11" s="45" t="s">
        <v>194</v>
      </c>
      <c r="F11" s="45" t="s">
        <v>195</v>
      </c>
      <c r="G11" s="45" t="s">
        <v>196</v>
      </c>
      <c r="H11" s="45" t="s">
        <v>197</v>
      </c>
      <c r="I11" s="45" t="s">
        <v>198</v>
      </c>
      <c r="J11" s="45" t="s">
        <v>199</v>
      </c>
      <c r="K11" s="45" t="s">
        <v>200</v>
      </c>
      <c r="L11" s="45" t="s">
        <v>201</v>
      </c>
      <c r="M11" s="45" t="s">
        <v>202</v>
      </c>
      <c r="N11" s="45" t="s">
        <v>203</v>
      </c>
      <c r="O11" s="45" t="s">
        <v>204</v>
      </c>
      <c r="P11" s="45" t="s">
        <v>205</v>
      </c>
      <c r="Q11" s="45" t="s">
        <v>206</v>
      </c>
      <c r="R11" s="45" t="s">
        <v>207</v>
      </c>
      <c r="S11" s="46" t="s">
        <v>208</v>
      </c>
      <c r="T11" s="42"/>
      <c r="U11" s="43"/>
      <c r="V11" s="43"/>
      <c r="W11" s="43"/>
    </row>
    <row r="12" spans="1:23" x14ac:dyDescent="0.25">
      <c r="A12" s="47" t="s">
        <v>149</v>
      </c>
      <c r="B12" s="63" t="s">
        <v>150</v>
      </c>
      <c r="C12" s="63" t="s">
        <v>151</v>
      </c>
      <c r="D12" s="63" t="s">
        <v>152</v>
      </c>
      <c r="E12" s="63" t="s">
        <v>153</v>
      </c>
      <c r="F12" s="63" t="s">
        <v>154</v>
      </c>
      <c r="G12" s="63" t="s">
        <v>155</v>
      </c>
      <c r="H12" s="63" t="s">
        <v>156</v>
      </c>
      <c r="I12" s="63" t="s">
        <v>157</v>
      </c>
      <c r="J12" s="63" t="s">
        <v>158</v>
      </c>
      <c r="K12" s="63" t="s">
        <v>159</v>
      </c>
      <c r="L12" s="63" t="s">
        <v>160</v>
      </c>
      <c r="M12" s="63" t="s">
        <v>161</v>
      </c>
      <c r="N12" s="63" t="s">
        <v>162</v>
      </c>
      <c r="O12" s="63" t="s">
        <v>163</v>
      </c>
      <c r="P12" s="63" t="s">
        <v>164</v>
      </c>
      <c r="Q12" s="63" t="s">
        <v>165</v>
      </c>
      <c r="R12" s="63" t="s">
        <v>166</v>
      </c>
      <c r="S12" s="63" t="s">
        <v>167</v>
      </c>
      <c r="T12" s="64" t="s">
        <v>11</v>
      </c>
      <c r="U12" s="43"/>
      <c r="V12" s="43"/>
      <c r="W12" s="43"/>
    </row>
    <row r="13" spans="1:23" x14ac:dyDescent="0.25">
      <c r="A13" s="47" t="s">
        <v>168</v>
      </c>
      <c r="B13" s="142">
        <v>458881128.25</v>
      </c>
      <c r="C13" s="142">
        <v>482261695.06</v>
      </c>
      <c r="D13" s="143">
        <v>482261695.06</v>
      </c>
      <c r="E13" s="143">
        <v>603618826.77999997</v>
      </c>
      <c r="F13" s="143">
        <v>603618826.76999998</v>
      </c>
      <c r="G13" s="143">
        <v>562304221.38</v>
      </c>
      <c r="H13" s="143">
        <v>562304221.38</v>
      </c>
      <c r="I13" s="143">
        <v>668613860.14999998</v>
      </c>
      <c r="J13" s="143">
        <v>668613860.14999998</v>
      </c>
      <c r="K13" s="143">
        <v>668613860.14999998</v>
      </c>
      <c r="L13" s="143">
        <v>555451916.87</v>
      </c>
      <c r="M13" s="143">
        <v>555451916.87</v>
      </c>
      <c r="N13" s="143">
        <v>555451916.87</v>
      </c>
      <c r="O13" s="143">
        <v>555451916.87</v>
      </c>
      <c r="P13" s="143">
        <v>555451916.87</v>
      </c>
      <c r="Q13" s="143">
        <v>555451916.87</v>
      </c>
      <c r="R13" s="143">
        <v>555451916.87</v>
      </c>
      <c r="S13" s="143">
        <v>555451916.87</v>
      </c>
      <c r="T13" s="144">
        <f>SUM('Dist - VA Totals'!$B13:$S13)</f>
        <v>10204707530.09</v>
      </c>
      <c r="U13" s="68">
        <f>SUM(B13:S13)</f>
        <v>10204707530.09</v>
      </c>
      <c r="V13" s="43"/>
      <c r="W13" s="43"/>
    </row>
    <row r="14" spans="1:23" x14ac:dyDescent="0.25">
      <c r="A14" s="47" t="s">
        <v>169</v>
      </c>
      <c r="B14" s="142">
        <v>333731729.63999999</v>
      </c>
      <c r="C14" s="142">
        <v>350735778.22000003</v>
      </c>
      <c r="D14" s="142">
        <v>350735778.22000003</v>
      </c>
      <c r="E14" s="142">
        <v>438995510.38</v>
      </c>
      <c r="F14" s="142">
        <v>438995510.38</v>
      </c>
      <c r="G14" s="142">
        <v>408948524.63999999</v>
      </c>
      <c r="H14" s="142">
        <v>408948524.63999999</v>
      </c>
      <c r="I14" s="142">
        <v>486264625.56999999</v>
      </c>
      <c r="J14" s="142">
        <v>486264625.56999999</v>
      </c>
      <c r="K14" s="142">
        <v>486264625.56999999</v>
      </c>
      <c r="L14" s="142">
        <v>403965030.44999999</v>
      </c>
      <c r="M14" s="142">
        <v>403965030.44999999</v>
      </c>
      <c r="N14" s="142">
        <v>403965030.44999999</v>
      </c>
      <c r="O14" s="142">
        <v>403965030.44999999</v>
      </c>
      <c r="P14" s="142">
        <v>403965030.44999999</v>
      </c>
      <c r="Q14" s="142">
        <v>403965030.44999999</v>
      </c>
      <c r="R14" s="142">
        <v>403965030.44999999</v>
      </c>
      <c r="S14" s="142">
        <v>403965030.44999999</v>
      </c>
      <c r="T14" s="145">
        <f>SUM('Dist - VA Totals'!$B14:$S14)</f>
        <v>7421605476.4299994</v>
      </c>
      <c r="U14" s="68">
        <f t="shared" ref="U14:U18" si="0">SUM(B14:S14)</f>
        <v>7421605476.4299994</v>
      </c>
      <c r="V14" s="43"/>
      <c r="W14" s="43"/>
    </row>
    <row r="15" spans="1:23" x14ac:dyDescent="0.25">
      <c r="A15" s="47" t="s">
        <v>170</v>
      </c>
      <c r="B15" s="142">
        <v>208582331.02000001</v>
      </c>
      <c r="C15" s="142">
        <v>219209861.38999999</v>
      </c>
      <c r="D15" s="142">
        <v>219209861.38999999</v>
      </c>
      <c r="E15" s="142">
        <v>274372193.99000001</v>
      </c>
      <c r="F15" s="142">
        <v>274372193.99000001</v>
      </c>
      <c r="G15" s="142">
        <v>255592827.90000001</v>
      </c>
      <c r="H15" s="142">
        <v>255592827.90000001</v>
      </c>
      <c r="I15" s="142">
        <v>303915390.98000002</v>
      </c>
      <c r="J15" s="142">
        <v>303915390.98000002</v>
      </c>
      <c r="K15" s="142">
        <v>303915390.98000002</v>
      </c>
      <c r="L15" s="142">
        <v>252478144.03</v>
      </c>
      <c r="M15" s="142">
        <v>252478144.03</v>
      </c>
      <c r="N15" s="142">
        <v>252478144.03</v>
      </c>
      <c r="O15" s="142">
        <v>252478144.03</v>
      </c>
      <c r="P15" s="142">
        <v>252478144.03</v>
      </c>
      <c r="Q15" s="142">
        <v>252478144.03</v>
      </c>
      <c r="R15" s="142">
        <v>252478144.03</v>
      </c>
      <c r="S15" s="142">
        <v>252478144.03</v>
      </c>
      <c r="T15" s="145">
        <f>SUM('Dist - VA Totals'!$B15:$S15)</f>
        <v>4638503422.7600012</v>
      </c>
      <c r="U15" s="68">
        <f t="shared" si="0"/>
        <v>4638503422.7600012</v>
      </c>
      <c r="V15" s="43"/>
      <c r="W15" s="43"/>
    </row>
    <row r="16" spans="1:23" x14ac:dyDescent="0.25">
      <c r="A16" s="47" t="s">
        <v>171</v>
      </c>
      <c r="B16" s="142">
        <v>125149398.61</v>
      </c>
      <c r="C16" s="142">
        <v>131525916.83</v>
      </c>
      <c r="D16" s="142">
        <v>131525916.83</v>
      </c>
      <c r="E16" s="142">
        <v>164623316.38999999</v>
      </c>
      <c r="F16" s="142">
        <v>164623316.38999999</v>
      </c>
      <c r="G16" s="142">
        <v>153355696.74000001</v>
      </c>
      <c r="H16" s="142">
        <v>153355696.74000001</v>
      </c>
      <c r="I16" s="142">
        <v>182349234.59</v>
      </c>
      <c r="J16" s="142">
        <v>182349234.59</v>
      </c>
      <c r="K16" s="142">
        <v>182349234.59</v>
      </c>
      <c r="L16" s="142">
        <v>151486886.41999999</v>
      </c>
      <c r="M16" s="142">
        <v>151486886.41999999</v>
      </c>
      <c r="N16" s="142">
        <v>151486886.41999999</v>
      </c>
      <c r="O16" s="142">
        <v>151486886.41999999</v>
      </c>
      <c r="P16" s="142">
        <v>151486886.41999999</v>
      </c>
      <c r="Q16" s="142">
        <v>151486886.41999999</v>
      </c>
      <c r="R16" s="142">
        <v>151486886.41999999</v>
      </c>
      <c r="S16" s="142">
        <v>151486886.41999999</v>
      </c>
      <c r="T16" s="145">
        <f>SUM('Dist - VA Totals'!$B16:$S16)</f>
        <v>2783102053.6600003</v>
      </c>
      <c r="U16" s="68">
        <f t="shared" si="0"/>
        <v>2783102053.6600003</v>
      </c>
      <c r="V16" s="43"/>
      <c r="W16" s="43"/>
    </row>
    <row r="17" spans="1:23" x14ac:dyDescent="0.25">
      <c r="A17" s="53" t="s">
        <v>172</v>
      </c>
      <c r="B17" s="142">
        <v>0</v>
      </c>
      <c r="C17" s="142">
        <v>0</v>
      </c>
      <c r="D17" s="142">
        <v>0</v>
      </c>
      <c r="E17" s="142">
        <v>0</v>
      </c>
      <c r="F17" s="142">
        <v>0</v>
      </c>
      <c r="G17" s="146">
        <v>71361591.120000005</v>
      </c>
      <c r="H17" s="146">
        <v>71361591.120000005</v>
      </c>
      <c r="I17" s="146">
        <v>71361591.120000005</v>
      </c>
      <c r="J17" s="146">
        <v>71361591.120000005</v>
      </c>
      <c r="K17" s="146">
        <v>71361591.120000005</v>
      </c>
      <c r="L17" s="146">
        <v>71361591.120000005</v>
      </c>
      <c r="M17" s="146">
        <v>71361591.120000005</v>
      </c>
      <c r="N17" s="146">
        <v>71361591.120000005</v>
      </c>
      <c r="O17" s="146">
        <v>71361591.120000005</v>
      </c>
      <c r="P17" s="146">
        <v>71361591.120000005</v>
      </c>
      <c r="Q17" s="146">
        <v>71361591.120000005</v>
      </c>
      <c r="R17" s="146">
        <v>71361591.120000005</v>
      </c>
      <c r="S17" s="146">
        <v>71361591.120000005</v>
      </c>
      <c r="T17" s="147">
        <f>SUM('Dist - VA Totals'!$G17:$S17)</f>
        <v>927700684.56000006</v>
      </c>
      <c r="U17" s="68">
        <f t="shared" si="0"/>
        <v>927700684.56000006</v>
      </c>
      <c r="V17" s="43"/>
      <c r="W17" s="43"/>
    </row>
    <row r="18" spans="1:23" x14ac:dyDescent="0.25">
      <c r="A18" s="47" t="s">
        <v>173</v>
      </c>
      <c r="B18" s="142">
        <v>64615384.619999997</v>
      </c>
      <c r="C18" s="142">
        <v>113076923.08</v>
      </c>
      <c r="D18" s="142">
        <v>105000000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5">
        <f>SUM('Dist - VA Totals'!$B18:$D18)</f>
        <v>282692307.69999999</v>
      </c>
      <c r="U18" s="68">
        <f t="shared" si="0"/>
        <v>282692307.69999999</v>
      </c>
      <c r="V18" s="43"/>
      <c r="W18" s="43"/>
    </row>
    <row r="19" spans="1:23" ht="16.5" thickBot="1" x14ac:dyDescent="0.3">
      <c r="A19" s="43"/>
      <c r="B19" s="40"/>
      <c r="C19" s="40"/>
      <c r="D19" s="40"/>
      <c r="E19" s="40"/>
      <c r="F19" s="40"/>
      <c r="G19" s="40"/>
      <c r="H19" s="40"/>
      <c r="I19" s="40"/>
      <c r="J19" s="40"/>
      <c r="K19" s="40"/>
      <c r="L19" s="40"/>
      <c r="M19" s="40"/>
      <c r="N19" s="40"/>
      <c r="O19" s="40"/>
      <c r="P19" s="40"/>
      <c r="Q19" s="40"/>
      <c r="R19" s="40"/>
      <c r="S19" s="40"/>
      <c r="T19" s="48"/>
      <c r="U19" s="43"/>
      <c r="V19" s="43"/>
      <c r="W19" s="43"/>
    </row>
    <row r="20" spans="1:23" ht="16.5" thickBot="1" x14ac:dyDescent="0.3">
      <c r="A20" s="49"/>
      <c r="B20" s="44" t="s">
        <v>191</v>
      </c>
      <c r="C20" s="45" t="s">
        <v>192</v>
      </c>
      <c r="D20" s="45" t="s">
        <v>193</v>
      </c>
      <c r="E20" s="45" t="s">
        <v>194</v>
      </c>
      <c r="F20" s="45" t="s">
        <v>195</v>
      </c>
      <c r="G20" s="45" t="s">
        <v>196</v>
      </c>
      <c r="H20" s="45" t="s">
        <v>197</v>
      </c>
      <c r="I20" s="45" t="s">
        <v>198</v>
      </c>
      <c r="J20" s="45" t="s">
        <v>199</v>
      </c>
      <c r="K20" s="45" t="s">
        <v>200</v>
      </c>
      <c r="L20" s="45" t="s">
        <v>201</v>
      </c>
      <c r="M20" s="45" t="s">
        <v>202</v>
      </c>
      <c r="N20" s="45" t="s">
        <v>203</v>
      </c>
      <c r="O20" s="45" t="s">
        <v>204</v>
      </c>
      <c r="P20" s="45" t="s">
        <v>205</v>
      </c>
      <c r="Q20" s="45" t="s">
        <v>206</v>
      </c>
      <c r="R20" s="45" t="s">
        <v>207</v>
      </c>
      <c r="S20" s="46" t="s">
        <v>208</v>
      </c>
      <c r="T20" s="50"/>
      <c r="U20" s="43"/>
      <c r="V20" s="43"/>
      <c r="W20" s="43"/>
    </row>
    <row r="21" spans="1:23" x14ac:dyDescent="0.25">
      <c r="A21" s="47" t="s">
        <v>174</v>
      </c>
      <c r="B21" s="63" t="s">
        <v>150</v>
      </c>
      <c r="C21" s="63" t="s">
        <v>151</v>
      </c>
      <c r="D21" s="63" t="s">
        <v>152</v>
      </c>
      <c r="E21" s="63" t="s">
        <v>153</v>
      </c>
      <c r="F21" s="63" t="s">
        <v>154</v>
      </c>
      <c r="G21" s="63" t="s">
        <v>155</v>
      </c>
      <c r="H21" s="63" t="s">
        <v>156</v>
      </c>
      <c r="I21" s="63" t="s">
        <v>157</v>
      </c>
      <c r="J21" s="65" t="s">
        <v>158</v>
      </c>
      <c r="K21" s="63" t="s">
        <v>159</v>
      </c>
      <c r="L21" s="66" t="s">
        <v>160</v>
      </c>
      <c r="M21" s="63" t="s">
        <v>161</v>
      </c>
      <c r="N21" s="66" t="s">
        <v>162</v>
      </c>
      <c r="O21" s="63" t="s">
        <v>163</v>
      </c>
      <c r="P21" s="66" t="s">
        <v>164</v>
      </c>
      <c r="Q21" s="63" t="s">
        <v>165</v>
      </c>
      <c r="R21" s="66" t="s">
        <v>166</v>
      </c>
      <c r="S21" s="63" t="s">
        <v>167</v>
      </c>
      <c r="T21" s="67" t="s">
        <v>11</v>
      </c>
      <c r="U21" s="43"/>
      <c r="V21" s="51"/>
      <c r="W21" s="43"/>
    </row>
    <row r="22" spans="1:23" x14ac:dyDescent="0.25">
      <c r="A22" s="47" t="s">
        <v>168</v>
      </c>
      <c r="B22" s="142">
        <f>B13*$B$8</f>
        <v>10463017.784770502</v>
      </c>
      <c r="C22" s="142">
        <f t="shared" ref="C22:S22" si="1">C13*$B$8</f>
        <v>10996121.613389423</v>
      </c>
      <c r="D22" s="142">
        <f t="shared" si="1"/>
        <v>10996121.613389423</v>
      </c>
      <c r="E22" s="142">
        <f>E13*$B$8</f>
        <v>13763203.869174248</v>
      </c>
      <c r="F22" s="142">
        <f t="shared" si="1"/>
        <v>13763203.868946237</v>
      </c>
      <c r="G22" s="142">
        <f t="shared" si="1"/>
        <v>12821183.322982883</v>
      </c>
      <c r="H22" s="142">
        <f t="shared" si="1"/>
        <v>12821183.322982883</v>
      </c>
      <c r="I22" s="142">
        <f t="shared" si="1"/>
        <v>15245165.423499864</v>
      </c>
      <c r="J22" s="148">
        <f t="shared" si="1"/>
        <v>15245165.423499864</v>
      </c>
      <c r="K22" s="142">
        <f t="shared" si="1"/>
        <v>15245165.423499864</v>
      </c>
      <c r="L22" s="149">
        <f t="shared" si="1"/>
        <v>12664942.894817501</v>
      </c>
      <c r="M22" s="142">
        <f t="shared" si="1"/>
        <v>12664942.894817501</v>
      </c>
      <c r="N22" s="149">
        <f t="shared" si="1"/>
        <v>12664942.894817501</v>
      </c>
      <c r="O22" s="142">
        <f t="shared" si="1"/>
        <v>12664942.894817501</v>
      </c>
      <c r="P22" s="149">
        <f t="shared" si="1"/>
        <v>12664942.894817501</v>
      </c>
      <c r="Q22" s="142">
        <f t="shared" si="1"/>
        <v>12664942.894817501</v>
      </c>
      <c r="R22" s="149">
        <f t="shared" si="1"/>
        <v>12664942.894817501</v>
      </c>
      <c r="S22" s="142">
        <f t="shared" si="1"/>
        <v>12664942.894817501</v>
      </c>
      <c r="T22" s="145">
        <f>T13*$B$8</f>
        <v>232679074.8246752</v>
      </c>
      <c r="U22" s="68">
        <f t="shared" ref="U22:U27" si="2">SUM(B22:S22)</f>
        <v>232679074.8246752</v>
      </c>
      <c r="V22" s="43"/>
      <c r="W22" s="43"/>
    </row>
    <row r="23" spans="1:23" x14ac:dyDescent="0.25">
      <c r="A23" s="47" t="s">
        <v>169</v>
      </c>
      <c r="B23" s="142">
        <f t="shared" ref="B23:S26" si="3">B14*$B$8</f>
        <v>7609467.4799160054</v>
      </c>
      <c r="C23" s="142">
        <f t="shared" si="3"/>
        <v>7997179.3550679376</v>
      </c>
      <c r="D23" s="142">
        <f t="shared" si="3"/>
        <v>7997179.3550679376</v>
      </c>
      <c r="E23" s="142">
        <f t="shared" si="3"/>
        <v>10009602.813820539</v>
      </c>
      <c r="F23" s="142">
        <f t="shared" si="3"/>
        <v>10009602.813820539</v>
      </c>
      <c r="G23" s="142">
        <f t="shared" si="3"/>
        <v>9324496.9621693697</v>
      </c>
      <c r="H23" s="142">
        <f t="shared" si="3"/>
        <v>9324496.9621693697</v>
      </c>
      <c r="I23" s="142">
        <f t="shared" si="3"/>
        <v>11087393.035417726</v>
      </c>
      <c r="J23" s="148">
        <f t="shared" si="3"/>
        <v>11087393.035417726</v>
      </c>
      <c r="K23" s="142">
        <f t="shared" si="3"/>
        <v>11087393.035417726</v>
      </c>
      <c r="L23" s="149">
        <f t="shared" si="3"/>
        <v>9210867.5598465446</v>
      </c>
      <c r="M23" s="142">
        <f t="shared" si="3"/>
        <v>9210867.5598465446</v>
      </c>
      <c r="N23" s="149">
        <f t="shared" si="3"/>
        <v>9210867.5598465446</v>
      </c>
      <c r="O23" s="142">
        <f t="shared" si="3"/>
        <v>9210867.5598465446</v>
      </c>
      <c r="P23" s="149">
        <f t="shared" si="3"/>
        <v>9210867.5598465446</v>
      </c>
      <c r="Q23" s="142">
        <f t="shared" si="3"/>
        <v>9210867.5598465446</v>
      </c>
      <c r="R23" s="149">
        <f t="shared" si="3"/>
        <v>9210867.5598465446</v>
      </c>
      <c r="S23" s="142">
        <f t="shared" si="3"/>
        <v>9210867.5598465446</v>
      </c>
      <c r="T23" s="145">
        <v>169221145.32705727</v>
      </c>
      <c r="U23" s="68">
        <f t="shared" si="2"/>
        <v>169221145.32705727</v>
      </c>
      <c r="V23" s="41"/>
      <c r="W23" s="43"/>
    </row>
    <row r="24" spans="1:23" x14ac:dyDescent="0.25">
      <c r="A24" s="47" t="s">
        <v>170</v>
      </c>
      <c r="B24" s="122">
        <f t="shared" si="3"/>
        <v>4755917.174833498</v>
      </c>
      <c r="C24" s="122">
        <f t="shared" si="3"/>
        <v>4998237.0969744632</v>
      </c>
      <c r="D24" s="122">
        <f t="shared" si="3"/>
        <v>4998237.0969744632</v>
      </c>
      <c r="E24" s="122">
        <f t="shared" si="3"/>
        <v>6256001.7586948397</v>
      </c>
      <c r="F24" s="122">
        <f t="shared" si="3"/>
        <v>6256001.7586948397</v>
      </c>
      <c r="G24" s="122">
        <f t="shared" si="3"/>
        <v>5827810.6013558563</v>
      </c>
      <c r="H24" s="122">
        <f t="shared" si="3"/>
        <v>5827810.6013558563</v>
      </c>
      <c r="I24" s="122">
        <f t="shared" si="3"/>
        <v>6929620.6471075788</v>
      </c>
      <c r="J24" s="122">
        <f t="shared" si="3"/>
        <v>6929620.6471075788</v>
      </c>
      <c r="K24" s="122">
        <f t="shared" si="3"/>
        <v>6929620.6471075788</v>
      </c>
      <c r="L24" s="122">
        <f t="shared" si="3"/>
        <v>5756792.2248755898</v>
      </c>
      <c r="M24" s="122">
        <f t="shared" si="3"/>
        <v>5756792.2248755898</v>
      </c>
      <c r="N24" s="122">
        <f t="shared" si="3"/>
        <v>5756792.2248755898</v>
      </c>
      <c r="O24" s="122">
        <f t="shared" si="3"/>
        <v>5756792.2248755898</v>
      </c>
      <c r="P24" s="122">
        <f t="shared" si="3"/>
        <v>5756792.2248755898</v>
      </c>
      <c r="Q24" s="122">
        <f t="shared" si="3"/>
        <v>5756792.2248755898</v>
      </c>
      <c r="R24" s="122">
        <f t="shared" si="3"/>
        <v>5756792.2248755898</v>
      </c>
      <c r="S24" s="122">
        <f t="shared" si="3"/>
        <v>5756792.2248755898</v>
      </c>
      <c r="T24" s="122">
        <v>105763215.82921124</v>
      </c>
      <c r="U24" s="68"/>
      <c r="V24" s="52"/>
      <c r="W24" s="43"/>
    </row>
    <row r="25" spans="1:23" x14ac:dyDescent="0.25">
      <c r="A25" s="47" t="s">
        <v>171</v>
      </c>
      <c r="B25" s="122">
        <f t="shared" si="3"/>
        <v>2853550.3048544964</v>
      </c>
      <c r="C25" s="122">
        <f t="shared" si="3"/>
        <v>2998942.2580934735</v>
      </c>
      <c r="D25" s="122">
        <f t="shared" si="3"/>
        <v>2998942.2580934735</v>
      </c>
      <c r="E25" s="122">
        <f t="shared" si="3"/>
        <v>3753601.0551256989</v>
      </c>
      <c r="F25" s="122">
        <f t="shared" si="3"/>
        <v>3753601.0551256989</v>
      </c>
      <c r="G25" s="122">
        <f t="shared" si="3"/>
        <v>3496686.3608135139</v>
      </c>
      <c r="H25" s="122">
        <f t="shared" si="3"/>
        <v>3496686.3608135139</v>
      </c>
      <c r="I25" s="122">
        <f t="shared" si="3"/>
        <v>4157772.3883101493</v>
      </c>
      <c r="J25" s="122">
        <f t="shared" si="3"/>
        <v>4157772.3883101493</v>
      </c>
      <c r="K25" s="122">
        <f t="shared" si="3"/>
        <v>4157772.3883101493</v>
      </c>
      <c r="L25" s="122">
        <f t="shared" si="3"/>
        <v>3454075.3349709557</v>
      </c>
      <c r="M25" s="122">
        <f t="shared" si="3"/>
        <v>3454075.3349709557</v>
      </c>
      <c r="N25" s="122">
        <f t="shared" si="3"/>
        <v>3454075.3349709557</v>
      </c>
      <c r="O25" s="122">
        <f t="shared" si="3"/>
        <v>3454075.3349709557</v>
      </c>
      <c r="P25" s="122">
        <f t="shared" si="3"/>
        <v>3454075.3349709557</v>
      </c>
      <c r="Q25" s="122">
        <f t="shared" si="3"/>
        <v>3454075.3349709557</v>
      </c>
      <c r="R25" s="122">
        <f t="shared" si="3"/>
        <v>3454075.3349709557</v>
      </c>
      <c r="S25" s="122">
        <f t="shared" si="3"/>
        <v>3454075.3349709557</v>
      </c>
      <c r="T25" s="122">
        <v>63457929.497617982</v>
      </c>
      <c r="U25" s="68"/>
      <c r="V25" s="43"/>
      <c r="W25" s="43"/>
    </row>
    <row r="26" spans="1:23" x14ac:dyDescent="0.25">
      <c r="A26" s="53" t="s">
        <v>172</v>
      </c>
      <c r="B26" s="146">
        <f t="shared" si="3"/>
        <v>0</v>
      </c>
      <c r="C26" s="146">
        <f t="shared" si="3"/>
        <v>0</v>
      </c>
      <c r="D26" s="146">
        <f t="shared" si="3"/>
        <v>0</v>
      </c>
      <c r="E26" s="146">
        <f t="shared" si="3"/>
        <v>0</v>
      </c>
      <c r="F26" s="146">
        <f t="shared" si="3"/>
        <v>0</v>
      </c>
      <c r="G26" s="146">
        <f t="shared" si="3"/>
        <v>1627126.3973865125</v>
      </c>
      <c r="H26" s="146">
        <f t="shared" si="3"/>
        <v>1627126.3973865125</v>
      </c>
      <c r="I26" s="146">
        <f t="shared" si="3"/>
        <v>1627126.3973865125</v>
      </c>
      <c r="J26" s="150">
        <f t="shared" si="3"/>
        <v>1627126.3973865125</v>
      </c>
      <c r="K26" s="142">
        <f>K17*$B$8</f>
        <v>1627126.3973865125</v>
      </c>
      <c r="L26" s="151">
        <f t="shared" si="3"/>
        <v>1627126.3973865125</v>
      </c>
      <c r="M26" s="142">
        <f t="shared" si="3"/>
        <v>1627126.3973865125</v>
      </c>
      <c r="N26" s="151">
        <f t="shared" si="3"/>
        <v>1627126.3973865125</v>
      </c>
      <c r="O26" s="142">
        <f t="shared" si="3"/>
        <v>1627126.3973865125</v>
      </c>
      <c r="P26" s="151">
        <f t="shared" si="3"/>
        <v>1627126.3973865125</v>
      </c>
      <c r="Q26" s="142">
        <f t="shared" si="3"/>
        <v>1627126.3973865125</v>
      </c>
      <c r="R26" s="151">
        <f t="shared" si="3"/>
        <v>1627126.3973865125</v>
      </c>
      <c r="S26" s="142">
        <f t="shared" si="3"/>
        <v>1627126.3973865125</v>
      </c>
      <c r="T26" s="147">
        <v>21152643.166024663</v>
      </c>
      <c r="U26" s="68">
        <f t="shared" si="2"/>
        <v>21152643.166024663</v>
      </c>
      <c r="V26" s="43"/>
      <c r="W26" s="43"/>
    </row>
    <row r="27" spans="1:23" x14ac:dyDescent="0.25">
      <c r="A27" s="47" t="s">
        <v>173</v>
      </c>
      <c r="B27" s="142">
        <f>B18*$B$9</f>
        <v>2412341.3647630792</v>
      </c>
      <c r="C27" s="142">
        <f>C18*$B$9</f>
        <v>4221597.3881487194</v>
      </c>
      <c r="D27" s="142">
        <f t="shared" ref="D27:T27" si="4">D18*$B$9</f>
        <v>3920054.71746</v>
      </c>
      <c r="E27" s="142">
        <f t="shared" si="4"/>
        <v>0</v>
      </c>
      <c r="F27" s="142">
        <f t="shared" si="4"/>
        <v>0</v>
      </c>
      <c r="G27" s="142">
        <f t="shared" si="4"/>
        <v>0</v>
      </c>
      <c r="H27" s="142">
        <f t="shared" si="4"/>
        <v>0</v>
      </c>
      <c r="I27" s="142">
        <f t="shared" si="4"/>
        <v>0</v>
      </c>
      <c r="J27" s="148">
        <f t="shared" si="4"/>
        <v>0</v>
      </c>
      <c r="K27" s="142">
        <f t="shared" si="4"/>
        <v>0</v>
      </c>
      <c r="L27" s="149">
        <f t="shared" si="4"/>
        <v>0</v>
      </c>
      <c r="M27" s="142">
        <f t="shared" si="4"/>
        <v>0</v>
      </c>
      <c r="N27" s="149">
        <f t="shared" si="4"/>
        <v>0</v>
      </c>
      <c r="O27" s="142">
        <f t="shared" si="4"/>
        <v>0</v>
      </c>
      <c r="P27" s="149">
        <f t="shared" si="4"/>
        <v>0</v>
      </c>
      <c r="Q27" s="142">
        <f t="shared" si="4"/>
        <v>0</v>
      </c>
      <c r="R27" s="149">
        <f t="shared" si="4"/>
        <v>0</v>
      </c>
      <c r="S27" s="142">
        <f t="shared" si="4"/>
        <v>0</v>
      </c>
      <c r="T27" s="145">
        <f t="shared" si="4"/>
        <v>10553993.470371798</v>
      </c>
      <c r="U27" s="68">
        <f t="shared" si="2"/>
        <v>10553993.470371798</v>
      </c>
      <c r="V27" s="43"/>
      <c r="W27" s="43"/>
    </row>
    <row r="28" spans="1:23" x14ac:dyDescent="0.25">
      <c r="A28" s="43"/>
      <c r="B28" s="40"/>
      <c r="C28" s="40"/>
      <c r="D28" s="40"/>
      <c r="E28" s="40"/>
      <c r="F28" s="40"/>
      <c r="G28" s="40"/>
      <c r="H28" s="40"/>
      <c r="I28" s="40"/>
      <c r="J28" s="40"/>
      <c r="K28" s="40"/>
      <c r="L28" s="40"/>
      <c r="M28" s="40"/>
      <c r="N28" s="40"/>
      <c r="O28" s="40"/>
      <c r="P28" s="40"/>
      <c r="Q28" s="40"/>
      <c r="R28" s="40"/>
      <c r="S28" s="40"/>
      <c r="T28" s="48"/>
      <c r="U28" s="43"/>
      <c r="V28" s="43"/>
    </row>
    <row r="29" spans="1:23" x14ac:dyDescent="0.25">
      <c r="A29" s="43" t="s">
        <v>175</v>
      </c>
      <c r="B29" s="41"/>
      <c r="C29" s="41"/>
      <c r="D29" s="41"/>
      <c r="E29" s="41"/>
      <c r="F29" s="41"/>
      <c r="G29" s="41"/>
      <c r="H29" s="41"/>
      <c r="I29" s="41"/>
      <c r="J29" s="41"/>
      <c r="K29" s="41"/>
      <c r="L29" s="41"/>
      <c r="M29" s="41"/>
      <c r="N29" s="41"/>
      <c r="O29" s="41"/>
      <c r="P29" s="41"/>
      <c r="Q29" s="41"/>
      <c r="R29" s="41"/>
      <c r="S29" s="41"/>
      <c r="T29" s="42"/>
      <c r="U29" s="43"/>
      <c r="V29" s="43"/>
    </row>
    <row r="30" spans="1:23" x14ac:dyDescent="0.25">
      <c r="A30" s="36" t="s">
        <v>176</v>
      </c>
    </row>
    <row r="31" spans="1:23" x14ac:dyDescent="0.25">
      <c r="A31" s="54"/>
      <c r="B31" s="54"/>
      <c r="C31" s="54"/>
      <c r="D31" s="54"/>
      <c r="E31" s="54"/>
      <c r="F31" s="54"/>
      <c r="G31" s="54"/>
      <c r="H31" s="54"/>
      <c r="I31" s="54"/>
      <c r="J31" s="54"/>
      <c r="K31" s="54"/>
      <c r="L31" s="54"/>
      <c r="M31" s="54"/>
      <c r="N31" s="54"/>
      <c r="O31" s="54"/>
      <c r="P31" s="54"/>
      <c r="Q31" s="54"/>
      <c r="R31" s="54"/>
      <c r="S31" s="54"/>
      <c r="T31" s="54"/>
      <c r="U31" s="54"/>
      <c r="V31" s="55"/>
    </row>
    <row r="32" spans="1:23" x14ac:dyDescent="0.25">
      <c r="A32" s="56" t="s">
        <v>214</v>
      </c>
      <c r="B32" s="36"/>
      <c r="C32" s="54"/>
      <c r="D32" s="54"/>
      <c r="E32" s="54"/>
      <c r="F32" s="54"/>
      <c r="G32" s="54"/>
      <c r="H32" s="54"/>
      <c r="I32" s="54"/>
      <c r="J32" s="54"/>
      <c r="K32" s="54"/>
      <c r="L32" s="54"/>
      <c r="M32" s="54"/>
      <c r="N32" s="54"/>
      <c r="O32" s="54"/>
      <c r="P32" s="54"/>
      <c r="Q32" s="54"/>
      <c r="R32" s="54"/>
      <c r="S32" s="54"/>
      <c r="T32" s="54"/>
      <c r="U32" s="54"/>
    </row>
    <row r="33" spans="1:22" x14ac:dyDescent="0.25">
      <c r="A33" s="58" t="s">
        <v>174</v>
      </c>
      <c r="B33" s="57"/>
      <c r="C33" s="54"/>
      <c r="D33" s="54"/>
      <c r="E33" s="54"/>
      <c r="F33" s="54"/>
      <c r="G33" s="54"/>
      <c r="H33" s="54"/>
      <c r="I33" s="54"/>
      <c r="J33" s="54"/>
      <c r="K33" s="54"/>
      <c r="L33" s="54"/>
      <c r="M33" s="54"/>
      <c r="N33" s="54"/>
      <c r="O33" s="54"/>
      <c r="P33" s="54"/>
      <c r="Q33" s="54"/>
      <c r="R33" s="54"/>
      <c r="S33" s="54"/>
      <c r="T33" s="54"/>
      <c r="U33" s="54"/>
      <c r="V33" s="59"/>
    </row>
    <row r="34" spans="1:22" x14ac:dyDescent="0.25">
      <c r="A34" s="58" t="s">
        <v>168</v>
      </c>
      <c r="B34" s="60" t="str">
        <f t="shared" ref="B34:S34" si="5">IF((B13*$B$8)=B22,"AGREES","DIFFERENCE")</f>
        <v>AGREES</v>
      </c>
      <c r="C34" s="60" t="str">
        <f t="shared" si="5"/>
        <v>AGREES</v>
      </c>
      <c r="D34" s="60" t="str">
        <f t="shared" si="5"/>
        <v>AGREES</v>
      </c>
      <c r="E34" s="60" t="str">
        <f t="shared" si="5"/>
        <v>AGREES</v>
      </c>
      <c r="F34" s="60" t="str">
        <f t="shared" si="5"/>
        <v>AGREES</v>
      </c>
      <c r="G34" s="60" t="str">
        <f t="shared" si="5"/>
        <v>AGREES</v>
      </c>
      <c r="H34" s="60" t="str">
        <f t="shared" si="5"/>
        <v>AGREES</v>
      </c>
      <c r="I34" s="60" t="str">
        <f t="shared" si="5"/>
        <v>AGREES</v>
      </c>
      <c r="J34" s="60" t="str">
        <f t="shared" si="5"/>
        <v>AGREES</v>
      </c>
      <c r="K34" s="60" t="str">
        <f t="shared" si="5"/>
        <v>AGREES</v>
      </c>
      <c r="L34" s="60" t="str">
        <f t="shared" si="5"/>
        <v>AGREES</v>
      </c>
      <c r="M34" s="60" t="str">
        <f t="shared" si="5"/>
        <v>AGREES</v>
      </c>
      <c r="N34" s="60" t="str">
        <f t="shared" si="5"/>
        <v>AGREES</v>
      </c>
      <c r="O34" s="60" t="str">
        <f t="shared" si="5"/>
        <v>AGREES</v>
      </c>
      <c r="P34" s="60" t="str">
        <f t="shared" si="5"/>
        <v>AGREES</v>
      </c>
      <c r="Q34" s="60" t="str">
        <f t="shared" si="5"/>
        <v>AGREES</v>
      </c>
      <c r="R34" s="60" t="str">
        <f t="shared" si="5"/>
        <v>AGREES</v>
      </c>
      <c r="S34" s="60" t="str">
        <f t="shared" si="5"/>
        <v>AGREES</v>
      </c>
      <c r="T34" s="60"/>
      <c r="U34" s="54"/>
    </row>
    <row r="35" spans="1:22" x14ac:dyDescent="0.25">
      <c r="A35" s="58" t="s">
        <v>169</v>
      </c>
      <c r="B35" s="60" t="str">
        <f t="shared" ref="B35:S35" si="6">IF((B14*$B$8)=B23,"AGREES","DIFFERENCE")</f>
        <v>AGREES</v>
      </c>
      <c r="C35" s="60" t="str">
        <f t="shared" si="6"/>
        <v>AGREES</v>
      </c>
      <c r="D35" s="60" t="str">
        <f t="shared" si="6"/>
        <v>AGREES</v>
      </c>
      <c r="E35" s="60" t="str">
        <f t="shared" si="6"/>
        <v>AGREES</v>
      </c>
      <c r="F35" s="60" t="str">
        <f t="shared" si="6"/>
        <v>AGREES</v>
      </c>
      <c r="G35" s="60" t="str">
        <f t="shared" si="6"/>
        <v>AGREES</v>
      </c>
      <c r="H35" s="60" t="str">
        <f t="shared" si="6"/>
        <v>AGREES</v>
      </c>
      <c r="I35" s="60" t="str">
        <f t="shared" si="6"/>
        <v>AGREES</v>
      </c>
      <c r="J35" s="60" t="str">
        <f t="shared" si="6"/>
        <v>AGREES</v>
      </c>
      <c r="K35" s="60" t="str">
        <f t="shared" si="6"/>
        <v>AGREES</v>
      </c>
      <c r="L35" s="60" t="str">
        <f t="shared" si="6"/>
        <v>AGREES</v>
      </c>
      <c r="M35" s="60" t="str">
        <f t="shared" si="6"/>
        <v>AGREES</v>
      </c>
      <c r="N35" s="60" t="str">
        <f t="shared" si="6"/>
        <v>AGREES</v>
      </c>
      <c r="O35" s="60" t="str">
        <f t="shared" si="6"/>
        <v>AGREES</v>
      </c>
      <c r="P35" s="60" t="str">
        <f t="shared" si="6"/>
        <v>AGREES</v>
      </c>
      <c r="Q35" s="60" t="str">
        <f t="shared" si="6"/>
        <v>AGREES</v>
      </c>
      <c r="R35" s="60" t="str">
        <f t="shared" si="6"/>
        <v>AGREES</v>
      </c>
      <c r="S35" s="60" t="str">
        <f t="shared" si="6"/>
        <v>AGREES</v>
      </c>
      <c r="T35" s="60"/>
      <c r="U35" s="54"/>
      <c r="V35" s="61"/>
    </row>
    <row r="36" spans="1:22" x14ac:dyDescent="0.25">
      <c r="A36" s="58" t="s">
        <v>170</v>
      </c>
      <c r="B36" s="56"/>
      <c r="C36" s="56"/>
      <c r="D36" s="56"/>
      <c r="E36" s="56"/>
      <c r="F36" s="56"/>
      <c r="G36" s="56"/>
      <c r="H36" s="56"/>
      <c r="I36" s="56"/>
      <c r="J36" s="56"/>
      <c r="K36" s="56"/>
      <c r="L36" s="56"/>
      <c r="M36" s="56"/>
      <c r="N36" s="56"/>
      <c r="O36" s="56"/>
      <c r="P36" s="56"/>
      <c r="Q36" s="56"/>
      <c r="R36" s="56"/>
      <c r="S36" s="56"/>
      <c r="T36" s="60"/>
      <c r="U36" s="54"/>
    </row>
    <row r="37" spans="1:22" x14ac:dyDescent="0.25">
      <c r="A37" s="58" t="s">
        <v>171</v>
      </c>
      <c r="B37" s="56"/>
      <c r="C37" s="56"/>
      <c r="D37" s="56"/>
      <c r="E37" s="56"/>
      <c r="F37" s="56"/>
      <c r="G37" s="56"/>
      <c r="H37" s="56"/>
      <c r="I37" s="56"/>
      <c r="J37" s="56"/>
      <c r="K37" s="56"/>
      <c r="L37" s="56"/>
      <c r="M37" s="56"/>
      <c r="N37" s="56"/>
      <c r="O37" s="56"/>
      <c r="P37" s="56"/>
      <c r="Q37" s="56"/>
      <c r="R37" s="56"/>
      <c r="S37" s="56"/>
      <c r="T37" s="60"/>
      <c r="U37" s="54"/>
    </row>
    <row r="38" spans="1:22" x14ac:dyDescent="0.25">
      <c r="A38" s="62" t="s">
        <v>172</v>
      </c>
      <c r="B38" s="60" t="str">
        <f t="shared" ref="B38:S38" si="7">IF((B17*$B$8)=B26,"AGREES","DIFFERENCE")</f>
        <v>AGREES</v>
      </c>
      <c r="C38" s="60" t="str">
        <f t="shared" si="7"/>
        <v>AGREES</v>
      </c>
      <c r="D38" s="60" t="str">
        <f t="shared" si="7"/>
        <v>AGREES</v>
      </c>
      <c r="E38" s="60" t="str">
        <f t="shared" si="7"/>
        <v>AGREES</v>
      </c>
      <c r="F38" s="60" t="str">
        <f t="shared" si="7"/>
        <v>AGREES</v>
      </c>
      <c r="G38" s="60" t="str">
        <f t="shared" si="7"/>
        <v>AGREES</v>
      </c>
      <c r="H38" s="60" t="str">
        <f t="shared" si="7"/>
        <v>AGREES</v>
      </c>
      <c r="I38" s="60" t="str">
        <f t="shared" si="7"/>
        <v>AGREES</v>
      </c>
      <c r="J38" s="60" t="str">
        <f t="shared" si="7"/>
        <v>AGREES</v>
      </c>
      <c r="K38" s="60" t="str">
        <f t="shared" si="7"/>
        <v>AGREES</v>
      </c>
      <c r="L38" s="60" t="str">
        <f t="shared" si="7"/>
        <v>AGREES</v>
      </c>
      <c r="M38" s="60" t="str">
        <f t="shared" si="7"/>
        <v>AGREES</v>
      </c>
      <c r="N38" s="60" t="str">
        <f t="shared" si="7"/>
        <v>AGREES</v>
      </c>
      <c r="O38" s="60" t="str">
        <f t="shared" si="7"/>
        <v>AGREES</v>
      </c>
      <c r="P38" s="60" t="str">
        <f t="shared" si="7"/>
        <v>AGREES</v>
      </c>
      <c r="Q38" s="60" t="str">
        <f t="shared" si="7"/>
        <v>AGREES</v>
      </c>
      <c r="R38" s="60" t="str">
        <f t="shared" si="7"/>
        <v>AGREES</v>
      </c>
      <c r="S38" s="60" t="str">
        <f t="shared" si="7"/>
        <v>AGREES</v>
      </c>
      <c r="T38" s="60"/>
      <c r="U38" s="54"/>
    </row>
    <row r="39" spans="1:22" x14ac:dyDescent="0.25">
      <c r="A39" s="58" t="s">
        <v>173</v>
      </c>
      <c r="B39" s="60" t="str">
        <f t="shared" ref="B39:S39" si="8">IF((B18*$B$9)=B27,"AGREES","DIFFERENCE")</f>
        <v>AGREES</v>
      </c>
      <c r="C39" s="60" t="str">
        <f t="shared" si="8"/>
        <v>AGREES</v>
      </c>
      <c r="D39" s="60" t="str">
        <f t="shared" si="8"/>
        <v>AGREES</v>
      </c>
      <c r="E39" s="60" t="str">
        <f t="shared" si="8"/>
        <v>AGREES</v>
      </c>
      <c r="F39" s="60" t="str">
        <f t="shared" si="8"/>
        <v>AGREES</v>
      </c>
      <c r="G39" s="60" t="str">
        <f t="shared" si="8"/>
        <v>AGREES</v>
      </c>
      <c r="H39" s="60" t="str">
        <f t="shared" si="8"/>
        <v>AGREES</v>
      </c>
      <c r="I39" s="60" t="str">
        <f t="shared" si="8"/>
        <v>AGREES</v>
      </c>
      <c r="J39" s="60" t="str">
        <f t="shared" si="8"/>
        <v>AGREES</v>
      </c>
      <c r="K39" s="60" t="str">
        <f t="shared" si="8"/>
        <v>AGREES</v>
      </c>
      <c r="L39" s="60" t="str">
        <f t="shared" si="8"/>
        <v>AGREES</v>
      </c>
      <c r="M39" s="60" t="str">
        <f t="shared" si="8"/>
        <v>AGREES</v>
      </c>
      <c r="N39" s="60" t="str">
        <f t="shared" si="8"/>
        <v>AGREES</v>
      </c>
      <c r="O39" s="60" t="str">
        <f t="shared" si="8"/>
        <v>AGREES</v>
      </c>
      <c r="P39" s="60" t="str">
        <f t="shared" si="8"/>
        <v>AGREES</v>
      </c>
      <c r="Q39" s="60" t="str">
        <f t="shared" si="8"/>
        <v>AGREES</v>
      </c>
      <c r="R39" s="60" t="str">
        <f t="shared" si="8"/>
        <v>AGREES</v>
      </c>
      <c r="S39" s="60" t="str">
        <f t="shared" si="8"/>
        <v>AGREES</v>
      </c>
      <c r="T39" s="60"/>
      <c r="U39" s="54"/>
    </row>
    <row r="40" spans="1:22" x14ac:dyDescent="0.25">
      <c r="A40" s="54"/>
      <c r="B40" s="36"/>
      <c r="C40" s="54"/>
      <c r="D40" s="54"/>
      <c r="E40" s="54"/>
      <c r="F40" s="54"/>
      <c r="G40" s="54"/>
      <c r="H40" s="54"/>
      <c r="I40" s="54"/>
      <c r="J40" s="54"/>
      <c r="K40" s="54"/>
      <c r="L40" s="54"/>
      <c r="M40" s="54"/>
      <c r="N40" s="54"/>
      <c r="O40" s="54"/>
      <c r="P40" s="54"/>
      <c r="Q40" s="54"/>
      <c r="R40" s="54"/>
      <c r="S40" s="54"/>
      <c r="T40" s="54"/>
      <c r="U40" s="54"/>
    </row>
    <row r="41" spans="1:22" ht="30.75" thickBot="1" x14ac:dyDescent="0.3">
      <c r="A41" s="78" t="s">
        <v>217</v>
      </c>
      <c r="B41" s="152">
        <f>B22+B23</f>
        <v>18072485.264686506</v>
      </c>
      <c r="C41" s="152">
        <f t="shared" ref="C41:F41" si="9">C22+C23</f>
        <v>18993300.96845736</v>
      </c>
      <c r="D41" s="152">
        <f t="shared" si="9"/>
        <v>18993300.96845736</v>
      </c>
      <c r="E41" s="152">
        <f t="shared" si="9"/>
        <v>23772806.682994787</v>
      </c>
      <c r="F41" s="152">
        <f t="shared" si="9"/>
        <v>23772806.682766777</v>
      </c>
      <c r="G41" s="152">
        <f>G22+G23+G26</f>
        <v>23772806.682538766</v>
      </c>
      <c r="H41" s="152">
        <f t="shared" ref="H41:S41" si="10">H22+H23+H26</f>
        <v>23772806.682538766</v>
      </c>
      <c r="I41" s="152">
        <f t="shared" si="10"/>
        <v>27959684.856304102</v>
      </c>
      <c r="J41" s="152">
        <f t="shared" si="10"/>
        <v>27959684.856304102</v>
      </c>
      <c r="K41" s="152">
        <f t="shared" si="10"/>
        <v>27959684.856304102</v>
      </c>
      <c r="L41" s="152">
        <f t="shared" si="10"/>
        <v>23502936.852050558</v>
      </c>
      <c r="M41" s="152">
        <f t="shared" si="10"/>
        <v>23502936.852050558</v>
      </c>
      <c r="N41" s="152">
        <f t="shared" si="10"/>
        <v>23502936.852050558</v>
      </c>
      <c r="O41" s="152">
        <f t="shared" si="10"/>
        <v>23502936.852050558</v>
      </c>
      <c r="P41" s="152">
        <f t="shared" si="10"/>
        <v>23502936.852050558</v>
      </c>
      <c r="Q41" s="152">
        <f t="shared" si="10"/>
        <v>23502936.852050558</v>
      </c>
      <c r="R41" s="152">
        <f t="shared" si="10"/>
        <v>23502936.852050558</v>
      </c>
      <c r="S41" s="152">
        <f t="shared" si="10"/>
        <v>23502936.852050558</v>
      </c>
      <c r="T41" s="80"/>
      <c r="U41" s="82">
        <f>SUM(B41:S41)</f>
        <v>423052863.31775701</v>
      </c>
    </row>
    <row r="42" spans="1:22" ht="16.5" thickTop="1" x14ac:dyDescent="0.25">
      <c r="A42" s="78" t="s">
        <v>216</v>
      </c>
      <c r="B42" s="152">
        <f>B27</f>
        <v>2412341.3647630792</v>
      </c>
      <c r="C42" s="152">
        <f>C27</f>
        <v>4221597.3881487194</v>
      </c>
      <c r="D42" s="152">
        <f>D27</f>
        <v>3920054.71746</v>
      </c>
      <c r="E42" s="153"/>
      <c r="F42" s="153"/>
      <c r="G42" s="153"/>
      <c r="H42" s="153"/>
      <c r="I42" s="153"/>
      <c r="J42" s="153"/>
      <c r="K42" s="153"/>
      <c r="L42" s="153"/>
      <c r="M42" s="153"/>
      <c r="N42" s="153"/>
      <c r="O42" s="153"/>
      <c r="P42" s="153"/>
      <c r="Q42" s="153"/>
      <c r="R42" s="153"/>
      <c r="S42" s="153"/>
      <c r="T42" s="80"/>
      <c r="U42" s="80"/>
    </row>
    <row r="43" spans="1:22" ht="16.5" thickBot="1" x14ac:dyDescent="0.3">
      <c r="A43" s="57"/>
      <c r="B43" s="81">
        <f>SUM(B41:B42)</f>
        <v>20484826.629449584</v>
      </c>
      <c r="C43" s="81">
        <f t="shared" ref="C43:D43" si="11">SUM(C41:C42)</f>
        <v>23214898.356606081</v>
      </c>
      <c r="D43" s="81">
        <f t="shared" si="11"/>
        <v>22913355.685917359</v>
      </c>
      <c r="E43" s="31"/>
      <c r="F43" s="31"/>
      <c r="G43" s="31"/>
      <c r="H43" s="31"/>
      <c r="I43" s="31"/>
      <c r="J43" s="31"/>
      <c r="K43" s="31"/>
      <c r="L43" s="31"/>
      <c r="M43" s="31"/>
      <c r="N43" s="31"/>
      <c r="O43" s="31"/>
      <c r="P43" s="31"/>
      <c r="Q43" s="31"/>
      <c r="R43" s="31"/>
      <c r="S43" s="31"/>
      <c r="T43" s="80"/>
      <c r="U43" s="80"/>
    </row>
    <row r="44" spans="1:22" ht="16.5" thickTop="1" x14ac:dyDescent="0.25">
      <c r="A44" s="54"/>
      <c r="B44" s="54"/>
      <c r="C44" s="54"/>
      <c r="D44" s="54"/>
      <c r="E44" s="54"/>
      <c r="F44" s="54"/>
      <c r="G44" s="54"/>
      <c r="H44" s="54"/>
      <c r="I44" s="54"/>
      <c r="J44" s="54"/>
      <c r="K44" s="54"/>
      <c r="L44" s="54"/>
      <c r="M44" s="54"/>
      <c r="N44" s="54"/>
      <c r="O44" s="54"/>
      <c r="P44" s="54"/>
      <c r="Q44" s="54"/>
      <c r="R44" s="54"/>
      <c r="S44" s="54"/>
      <c r="T44" s="54"/>
      <c r="U44" s="54"/>
    </row>
    <row r="45" spans="1:22" x14ac:dyDescent="0.25">
      <c r="A45" s="54"/>
      <c r="B45" s="54"/>
      <c r="C45" s="54"/>
      <c r="D45" s="54"/>
      <c r="E45" s="54"/>
      <c r="F45" s="54"/>
      <c r="G45" s="54"/>
      <c r="H45" s="54"/>
      <c r="I45" s="54"/>
      <c r="J45" s="54"/>
      <c r="K45" s="54"/>
      <c r="L45" s="54"/>
      <c r="M45" s="54"/>
      <c r="N45" s="54"/>
      <c r="O45" s="54"/>
      <c r="P45" s="54"/>
      <c r="Q45" s="54"/>
      <c r="R45" s="54"/>
      <c r="S45" s="54"/>
      <c r="T45" s="54"/>
      <c r="U45" s="54"/>
    </row>
    <row r="46" spans="1:22" x14ac:dyDescent="0.25">
      <c r="A46" s="54"/>
      <c r="B46" s="54"/>
      <c r="C46" s="54"/>
      <c r="D46" s="54"/>
      <c r="E46" s="54"/>
      <c r="F46" s="54"/>
      <c r="G46" s="54"/>
      <c r="H46" s="54"/>
      <c r="I46" s="54"/>
      <c r="J46" s="54"/>
      <c r="K46" s="54"/>
      <c r="L46" s="54"/>
      <c r="M46" s="54"/>
      <c r="N46" s="54"/>
      <c r="O46" s="54"/>
      <c r="P46" s="54"/>
      <c r="Q46" s="54"/>
      <c r="R46" s="54"/>
      <c r="S46" s="54"/>
      <c r="T46" s="54"/>
      <c r="U46" s="54"/>
    </row>
    <row r="47" spans="1:22" x14ac:dyDescent="0.25">
      <c r="A47" s="54"/>
      <c r="B47" s="54"/>
      <c r="C47" s="54"/>
      <c r="D47" s="54"/>
      <c r="E47" s="54"/>
      <c r="F47" s="54"/>
      <c r="G47" s="54"/>
      <c r="H47" s="54"/>
      <c r="I47" s="54"/>
      <c r="J47" s="54"/>
      <c r="K47" s="54"/>
      <c r="L47" s="54"/>
      <c r="M47" s="54"/>
      <c r="N47" s="54"/>
      <c r="O47" s="54"/>
      <c r="P47" s="54"/>
      <c r="Q47" s="54"/>
      <c r="R47" s="54"/>
      <c r="S47" s="54"/>
      <c r="T47" s="54"/>
      <c r="U47" s="54"/>
    </row>
    <row r="48" spans="1:22" x14ac:dyDescent="0.25">
      <c r="A48" s="54"/>
      <c r="B48" s="54"/>
      <c r="C48" s="54"/>
      <c r="D48" s="54"/>
      <c r="E48" s="54"/>
      <c r="F48" s="54"/>
      <c r="G48" s="54"/>
      <c r="H48" s="54"/>
      <c r="I48" s="54"/>
      <c r="J48" s="54"/>
      <c r="K48" s="54"/>
      <c r="L48" s="54"/>
      <c r="M48" s="54"/>
      <c r="N48" s="54"/>
      <c r="O48" s="54"/>
      <c r="P48" s="54"/>
      <c r="Q48" s="54"/>
      <c r="R48" s="54"/>
      <c r="S48" s="54"/>
      <c r="T48" s="54"/>
      <c r="U48" s="54"/>
    </row>
    <row r="49" spans="1:21" x14ac:dyDescent="0.25">
      <c r="A49" s="54"/>
      <c r="B49" s="54"/>
      <c r="C49" s="54"/>
      <c r="D49" s="54"/>
      <c r="E49" s="54"/>
      <c r="F49" s="54"/>
      <c r="G49" s="54"/>
      <c r="H49" s="54"/>
      <c r="I49" s="54"/>
      <c r="J49" s="54"/>
      <c r="K49" s="54"/>
      <c r="L49" s="54"/>
      <c r="M49" s="54"/>
      <c r="N49" s="54"/>
      <c r="O49" s="54"/>
      <c r="P49" s="54"/>
      <c r="Q49" s="54"/>
      <c r="R49" s="54"/>
      <c r="S49" s="54"/>
      <c r="T49" s="54"/>
      <c r="U49" s="54"/>
    </row>
    <row r="50" spans="1:21" x14ac:dyDescent="0.25">
      <c r="A50" s="54"/>
      <c r="B50" s="54"/>
      <c r="C50" s="54"/>
      <c r="D50" s="54"/>
      <c r="E50" s="54"/>
      <c r="F50" s="54"/>
      <c r="G50" s="54"/>
      <c r="H50" s="54"/>
      <c r="I50" s="54"/>
      <c r="J50" s="54"/>
      <c r="K50" s="54"/>
      <c r="L50" s="54"/>
      <c r="M50" s="54"/>
      <c r="N50" s="54"/>
      <c r="O50" s="54"/>
      <c r="P50" s="54"/>
      <c r="Q50" s="54"/>
      <c r="R50" s="54"/>
      <c r="S50" s="54"/>
      <c r="T50" s="54"/>
      <c r="U50" s="54"/>
    </row>
    <row r="51" spans="1:21" x14ac:dyDescent="0.25">
      <c r="A51" s="54"/>
      <c r="B51" s="54"/>
      <c r="C51" s="54"/>
      <c r="D51" s="54"/>
      <c r="E51" s="54"/>
      <c r="F51" s="54"/>
      <c r="G51" s="54"/>
      <c r="H51" s="54"/>
      <c r="I51" s="54"/>
      <c r="J51" s="54"/>
      <c r="K51" s="54"/>
      <c r="L51" s="54"/>
      <c r="M51" s="54"/>
      <c r="N51" s="54"/>
      <c r="O51" s="54"/>
      <c r="P51" s="54"/>
      <c r="Q51" s="54"/>
      <c r="R51" s="54"/>
      <c r="S51" s="54"/>
      <c r="T51" s="54"/>
      <c r="U51" s="54"/>
    </row>
    <row r="52" spans="1:21" x14ac:dyDescent="0.25">
      <c r="A52" s="54"/>
      <c r="B52" s="54"/>
      <c r="C52" s="54"/>
      <c r="D52" s="54"/>
      <c r="E52" s="54"/>
      <c r="F52" s="54"/>
      <c r="G52" s="54"/>
      <c r="H52" s="54"/>
      <c r="I52" s="54"/>
      <c r="J52" s="54"/>
      <c r="K52" s="54"/>
      <c r="L52" s="54"/>
      <c r="M52" s="54"/>
      <c r="N52" s="54"/>
      <c r="O52" s="54"/>
      <c r="P52" s="54"/>
      <c r="Q52" s="54"/>
      <c r="R52" s="54"/>
      <c r="S52" s="54"/>
      <c r="T52" s="54"/>
      <c r="U52" s="54"/>
    </row>
    <row r="53" spans="1:21" x14ac:dyDescent="0.25">
      <c r="A53" s="54"/>
    </row>
    <row r="54" spans="1:21" x14ac:dyDescent="0.25">
      <c r="A54" s="54"/>
    </row>
    <row r="55" spans="1:21" x14ac:dyDescent="0.25">
      <c r="A55" s="54"/>
    </row>
    <row r="56" spans="1:21" x14ac:dyDescent="0.25">
      <c r="A56" s="54"/>
    </row>
    <row r="57" spans="1:21" x14ac:dyDescent="0.25">
      <c r="A57" s="54"/>
    </row>
    <row r="58" spans="1:21" x14ac:dyDescent="0.25">
      <c r="A58" s="54"/>
    </row>
    <row r="59" spans="1:21" x14ac:dyDescent="0.25">
      <c r="A59" s="54"/>
    </row>
    <row r="60" spans="1:21" x14ac:dyDescent="0.25">
      <c r="A60" s="54"/>
    </row>
    <row r="61" spans="1:21" x14ac:dyDescent="0.25">
      <c r="A61" s="54"/>
    </row>
    <row r="62" spans="1:21" x14ac:dyDescent="0.25">
      <c r="A62" s="54"/>
    </row>
  </sheetData>
  <sheetProtection algorithmName="SHA-512" hashValue="0NeCaJBfHmH7WYziNM13xDk5kecp6a0svm+NH2NuWpQG8GnEq3uUyx6kxTXswMFTPx9WUoUIdCqy+WMeE4mEeA==" saltValue="N9CrYNG04h7nuEAtJh4Znw==" spinCount="100000" sheet="1" objects="1" scenarios="1"/>
  <mergeCells count="2">
    <mergeCell ref="E5:G6"/>
    <mergeCell ref="B2:G2"/>
  </mergeCells>
  <phoneticPr fontId="1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T76"/>
  <sheetViews>
    <sheetView workbookViewId="0">
      <pane xSplit="1" topLeftCell="B1" activePane="topRight" state="frozen"/>
      <selection pane="topRight"/>
    </sheetView>
  </sheetViews>
  <sheetFormatPr defaultColWidth="8.5" defaultRowHeight="15.75" x14ac:dyDescent="0.25"/>
  <cols>
    <col min="1" max="1" width="21.5" style="1" customWidth="1"/>
    <col min="2" max="17" width="20.625" style="6" customWidth="1"/>
    <col min="18" max="18" width="19" style="6" bestFit="1" customWidth="1"/>
    <col min="19" max="19" width="19" style="3" bestFit="1" customWidth="1"/>
    <col min="20" max="20" width="17.625" style="4" bestFit="1" customWidth="1"/>
    <col min="21" max="16384" width="8.5" style="1"/>
  </cols>
  <sheetData>
    <row r="1" spans="1:20" x14ac:dyDescent="0.25">
      <c r="A1" s="31" t="s">
        <v>336</v>
      </c>
    </row>
    <row r="2" spans="1:20" customFormat="1" ht="64.150000000000006" customHeight="1" x14ac:dyDescent="0.25">
      <c r="A2" s="72">
        <v>1</v>
      </c>
      <c r="B2" s="283" t="s">
        <v>340</v>
      </c>
      <c r="C2" s="283"/>
      <c r="D2" s="283"/>
      <c r="E2" s="283"/>
      <c r="F2" s="283"/>
      <c r="G2" s="283"/>
    </row>
    <row r="3" spans="1:20" customFormat="1" x14ac:dyDescent="0.25"/>
    <row r="4" spans="1:20" x14ac:dyDescent="0.25">
      <c r="A4" s="70"/>
      <c r="B4" s="71"/>
      <c r="C4" s="71"/>
      <c r="D4" s="71"/>
      <c r="E4" s="71"/>
      <c r="F4" s="71"/>
      <c r="G4" s="71"/>
      <c r="H4" s="71"/>
    </row>
    <row r="5" spans="1:20" ht="16.5" thickBot="1" x14ac:dyDescent="0.3"/>
    <row r="6" spans="1:20" x14ac:dyDescent="0.25">
      <c r="A6" s="112" t="s">
        <v>334</v>
      </c>
      <c r="E6" s="292" t="s">
        <v>212</v>
      </c>
      <c r="F6" s="293"/>
      <c r="G6" s="294"/>
    </row>
    <row r="7" spans="1:20" ht="16.5" thickBot="1" x14ac:dyDescent="0.3">
      <c r="E7" s="295"/>
      <c r="F7" s="296"/>
      <c r="G7" s="297"/>
    </row>
    <row r="8" spans="1:20" x14ac:dyDescent="0.25">
      <c r="B8" s="122"/>
      <c r="C8" s="122"/>
      <c r="D8" s="122"/>
      <c r="E8" s="122"/>
      <c r="F8" s="122"/>
      <c r="G8" s="122"/>
      <c r="H8" s="122"/>
      <c r="I8" s="122"/>
      <c r="J8" s="122"/>
      <c r="K8" s="122"/>
      <c r="L8" s="122"/>
      <c r="M8" s="122"/>
      <c r="N8" s="122"/>
      <c r="O8" s="122"/>
      <c r="P8" s="122"/>
      <c r="Q8" s="122"/>
    </row>
    <row r="9" spans="1:20" x14ac:dyDescent="0.25">
      <c r="A9" s="2" t="s">
        <v>145</v>
      </c>
      <c r="B9" s="141">
        <v>2.2801150757E-2</v>
      </c>
      <c r="C9" s="160" t="s">
        <v>146</v>
      </c>
      <c r="D9" s="122"/>
      <c r="E9" s="122"/>
      <c r="F9" s="122"/>
      <c r="G9" s="122"/>
      <c r="H9" s="122"/>
      <c r="I9" s="122"/>
      <c r="J9" s="122"/>
      <c r="K9" s="122"/>
      <c r="L9" s="122"/>
      <c r="M9" s="122"/>
      <c r="N9" s="122"/>
      <c r="O9" s="122"/>
      <c r="P9" s="122"/>
      <c r="Q9" s="122"/>
    </row>
    <row r="10" spans="1:20" x14ac:dyDescent="0.25">
      <c r="A10" s="2" t="s">
        <v>147</v>
      </c>
      <c r="B10" s="141">
        <v>3.0182689455000002E-2</v>
      </c>
      <c r="C10" s="160" t="s">
        <v>148</v>
      </c>
      <c r="D10" s="122"/>
      <c r="E10" s="122"/>
      <c r="F10" s="122"/>
      <c r="G10" s="122"/>
      <c r="H10" s="122"/>
      <c r="I10" s="122"/>
      <c r="J10" s="122"/>
      <c r="K10" s="122"/>
      <c r="L10" s="122"/>
      <c r="M10" s="122"/>
      <c r="N10" s="122"/>
      <c r="O10" s="122"/>
      <c r="P10" s="122"/>
      <c r="Q10" s="122"/>
    </row>
    <row r="11" spans="1:20" x14ac:dyDescent="0.25">
      <c r="B11" s="161"/>
      <c r="C11" s="162"/>
      <c r="D11" s="122"/>
      <c r="E11" s="122"/>
      <c r="F11" s="122"/>
      <c r="G11" s="122"/>
      <c r="H11" s="122"/>
      <c r="I11" s="122"/>
      <c r="J11" s="122"/>
      <c r="K11" s="122"/>
      <c r="L11" s="122"/>
      <c r="M11" s="122"/>
      <c r="N11" s="122"/>
      <c r="O11" s="122"/>
      <c r="P11" s="122"/>
      <c r="Q11" s="122"/>
    </row>
    <row r="12" spans="1:20" x14ac:dyDescent="0.25">
      <c r="B12" s="28"/>
      <c r="C12" s="28"/>
      <c r="D12" s="28"/>
      <c r="E12" s="28"/>
      <c r="F12" s="28"/>
      <c r="G12" s="28"/>
      <c r="H12" s="28"/>
      <c r="I12" s="28"/>
      <c r="J12" s="28"/>
      <c r="K12" s="28"/>
      <c r="L12" s="28"/>
      <c r="M12" s="28"/>
      <c r="N12" s="122"/>
      <c r="O12" s="122"/>
      <c r="P12" s="122"/>
      <c r="Q12" s="122"/>
    </row>
    <row r="13" spans="1:20" x14ac:dyDescent="0.25">
      <c r="A13" s="2" t="s">
        <v>149</v>
      </c>
      <c r="B13" s="163" t="s">
        <v>0</v>
      </c>
      <c r="C13" s="163" t="s">
        <v>1</v>
      </c>
      <c r="D13" s="163" t="s">
        <v>2</v>
      </c>
      <c r="E13" s="163" t="s">
        <v>3</v>
      </c>
      <c r="F13" s="163" t="s">
        <v>4</v>
      </c>
      <c r="G13" s="163" t="s">
        <v>5</v>
      </c>
      <c r="H13" s="163" t="s">
        <v>6</v>
      </c>
      <c r="I13" s="163" t="s">
        <v>7</v>
      </c>
      <c r="J13" s="163" t="s">
        <v>8</v>
      </c>
      <c r="K13" s="163" t="s">
        <v>9</v>
      </c>
      <c r="L13" s="163" t="s">
        <v>10</v>
      </c>
      <c r="M13" s="164" t="s">
        <v>11</v>
      </c>
      <c r="N13" s="156"/>
      <c r="O13" s="156"/>
      <c r="P13" s="156"/>
      <c r="Q13" s="156"/>
      <c r="R13" s="7"/>
      <c r="S13" s="1"/>
      <c r="T13" s="1"/>
    </row>
    <row r="14" spans="1:20" x14ac:dyDescent="0.25">
      <c r="A14" s="2" t="s">
        <v>168</v>
      </c>
      <c r="B14" s="165">
        <v>282175271</v>
      </c>
      <c r="C14" s="165">
        <v>658320615</v>
      </c>
      <c r="D14" s="165">
        <v>0</v>
      </c>
      <c r="E14" s="166">
        <v>259273971</v>
      </c>
      <c r="F14" s="166">
        <v>262463219</v>
      </c>
      <c r="G14" s="166">
        <v>105720216</v>
      </c>
      <c r="H14" s="166">
        <v>63074061</v>
      </c>
      <c r="I14" s="166">
        <v>63074060</v>
      </c>
      <c r="J14" s="166">
        <v>82748246</v>
      </c>
      <c r="K14" s="166">
        <v>82748248</v>
      </c>
      <c r="L14" s="166">
        <v>82748248</v>
      </c>
      <c r="M14" s="167">
        <f>SUM('Jan - VA Totals'!$B14:$L14)</f>
        <v>1942346155</v>
      </c>
      <c r="N14" s="168">
        <f>SUM(B14:L14)</f>
        <v>1942346155</v>
      </c>
      <c r="O14" s="156"/>
      <c r="P14" s="156"/>
      <c r="Q14" s="156"/>
      <c r="R14" s="7"/>
      <c r="S14" s="1"/>
      <c r="T14" s="1"/>
    </row>
    <row r="15" spans="1:20" x14ac:dyDescent="0.25">
      <c r="A15" s="2" t="s">
        <v>169</v>
      </c>
      <c r="B15" s="165">
        <v>0</v>
      </c>
      <c r="C15" s="165">
        <v>0</v>
      </c>
      <c r="D15" s="165">
        <v>526905161</v>
      </c>
      <c r="E15" s="165">
        <v>549768597</v>
      </c>
      <c r="F15" s="165">
        <v>634274384</v>
      </c>
      <c r="G15" s="165">
        <v>54325273</v>
      </c>
      <c r="H15" s="165">
        <v>54325273</v>
      </c>
      <c r="I15" s="165">
        <v>54325272</v>
      </c>
      <c r="J15" s="165">
        <v>78371501</v>
      </c>
      <c r="K15" s="165">
        <v>78371500</v>
      </c>
      <c r="L15" s="165">
        <v>78371500</v>
      </c>
      <c r="M15" s="169">
        <f>SUM('Jan - VA Totals'!$D15:$L15)</f>
        <v>2109038461</v>
      </c>
      <c r="N15" s="168">
        <f t="shared" ref="N15:N19" si="0">SUM(B15:L15)</f>
        <v>2109038461</v>
      </c>
      <c r="O15" s="156"/>
      <c r="P15" s="156"/>
      <c r="Q15" s="156"/>
      <c r="R15" s="7"/>
      <c r="S15" s="1"/>
      <c r="T15" s="1"/>
    </row>
    <row r="16" spans="1:20" x14ac:dyDescent="0.25">
      <c r="A16" s="2" t="s">
        <v>170</v>
      </c>
      <c r="B16" s="165">
        <v>0</v>
      </c>
      <c r="C16" s="165">
        <v>0</v>
      </c>
      <c r="D16" s="122">
        <f>D15*0.6</f>
        <v>316143096.59999996</v>
      </c>
      <c r="E16" s="122">
        <f t="shared" ref="E16:L16" si="1">E15*0.6</f>
        <v>329861158.19999999</v>
      </c>
      <c r="F16" s="122">
        <f t="shared" si="1"/>
        <v>380564630.39999998</v>
      </c>
      <c r="G16" s="122">
        <f t="shared" si="1"/>
        <v>32595163.799999997</v>
      </c>
      <c r="H16" s="122">
        <f t="shared" si="1"/>
        <v>32595163.799999997</v>
      </c>
      <c r="I16" s="122">
        <f t="shared" si="1"/>
        <v>32595163.199999999</v>
      </c>
      <c r="J16" s="122">
        <f t="shared" si="1"/>
        <v>47022900.600000001</v>
      </c>
      <c r="K16" s="122">
        <f t="shared" si="1"/>
        <v>47022900</v>
      </c>
      <c r="L16" s="122">
        <f t="shared" si="1"/>
        <v>47022900</v>
      </c>
      <c r="M16" s="122">
        <f>SUM('Jan - VA Totals'!$D16:$L16)</f>
        <v>1265423076.5999999</v>
      </c>
      <c r="N16" s="168"/>
      <c r="O16" s="156"/>
      <c r="P16" s="156"/>
      <c r="Q16" s="156"/>
      <c r="R16" s="7"/>
      <c r="S16" s="1"/>
      <c r="T16" s="1"/>
    </row>
    <row r="17" spans="1:20" x14ac:dyDescent="0.25">
      <c r="A17" s="2" t="s">
        <v>171</v>
      </c>
      <c r="B17" s="165">
        <v>0</v>
      </c>
      <c r="C17" s="165">
        <v>0</v>
      </c>
      <c r="D17" s="122">
        <f>D15*0.4</f>
        <v>210762064.40000001</v>
      </c>
      <c r="E17" s="122">
        <f t="shared" ref="E17:L17" si="2">E15*0.4</f>
        <v>219907438.80000001</v>
      </c>
      <c r="F17" s="122">
        <f t="shared" si="2"/>
        <v>253709753.60000002</v>
      </c>
      <c r="G17" s="122">
        <f t="shared" si="2"/>
        <v>21730109.200000003</v>
      </c>
      <c r="H17" s="122">
        <f t="shared" si="2"/>
        <v>21730109.200000003</v>
      </c>
      <c r="I17" s="122">
        <f t="shared" si="2"/>
        <v>21730108.800000001</v>
      </c>
      <c r="J17" s="122">
        <f t="shared" si="2"/>
        <v>31348600.400000002</v>
      </c>
      <c r="K17" s="122">
        <f t="shared" si="2"/>
        <v>31348600</v>
      </c>
      <c r="L17" s="122">
        <f t="shared" si="2"/>
        <v>31348600</v>
      </c>
      <c r="M17" s="122">
        <f>SUM('Jan - VA Totals'!$D17:$L17)</f>
        <v>843615384.4000001</v>
      </c>
      <c r="N17" s="168"/>
      <c r="O17" s="156"/>
      <c r="P17" s="156"/>
      <c r="Q17" s="156"/>
      <c r="R17" s="7"/>
      <c r="S17" s="1"/>
      <c r="T17" s="1"/>
    </row>
    <row r="18" spans="1:20" x14ac:dyDescent="0.25">
      <c r="A18" s="11" t="s">
        <v>172</v>
      </c>
      <c r="B18" s="170">
        <v>0</v>
      </c>
      <c r="C18" s="170">
        <v>0</v>
      </c>
      <c r="D18" s="170">
        <v>0</v>
      </c>
      <c r="E18" s="170">
        <v>0</v>
      </c>
      <c r="F18" s="170">
        <v>0</v>
      </c>
      <c r="G18" s="170">
        <v>0</v>
      </c>
      <c r="H18" s="170">
        <v>42646154</v>
      </c>
      <c r="I18" s="170">
        <v>42646154</v>
      </c>
      <c r="J18" s="170">
        <v>42646154</v>
      </c>
      <c r="K18" s="170">
        <v>42646154</v>
      </c>
      <c r="L18" s="170">
        <v>42646153</v>
      </c>
      <c r="M18" s="171">
        <f>SUM('Jan - VA Totals'!$H18:$L18)</f>
        <v>213230769</v>
      </c>
      <c r="N18" s="168">
        <f t="shared" si="0"/>
        <v>213230769</v>
      </c>
      <c r="O18" s="122"/>
      <c r="P18" s="122"/>
      <c r="Q18" s="122"/>
    </row>
    <row r="19" spans="1:20" x14ac:dyDescent="0.25">
      <c r="A19" s="2" t="s">
        <v>177</v>
      </c>
      <c r="B19" s="165">
        <v>15384615.380000001</v>
      </c>
      <c r="C19" s="165">
        <v>0</v>
      </c>
      <c r="D19" s="165">
        <v>26923076.920000002</v>
      </c>
      <c r="E19" s="165">
        <v>25000000</v>
      </c>
      <c r="F19" s="165">
        <v>0</v>
      </c>
      <c r="G19" s="165">
        <v>0</v>
      </c>
      <c r="H19" s="165">
        <v>0</v>
      </c>
      <c r="I19" s="165">
        <v>0</v>
      </c>
      <c r="J19" s="165">
        <v>0</v>
      </c>
      <c r="K19" s="165">
        <v>0</v>
      </c>
      <c r="L19" s="165">
        <v>0</v>
      </c>
      <c r="M19" s="172">
        <f>SUM('Jan - VA Totals'!$B19:$E19)</f>
        <v>67307692.300000012</v>
      </c>
      <c r="N19" s="168">
        <f t="shared" si="0"/>
        <v>67307692.300000012</v>
      </c>
      <c r="O19" s="156"/>
      <c r="P19" s="156"/>
      <c r="Q19" s="156"/>
      <c r="R19" s="7"/>
      <c r="S19" s="1"/>
      <c r="T19" s="1"/>
    </row>
    <row r="20" spans="1:20" x14ac:dyDescent="0.25">
      <c r="B20" s="69"/>
      <c r="C20" s="69"/>
      <c r="D20" s="69"/>
      <c r="E20" s="69"/>
      <c r="F20" s="69"/>
      <c r="G20" s="69"/>
      <c r="H20" s="69"/>
      <c r="I20" s="69"/>
      <c r="J20" s="69"/>
      <c r="K20" s="69"/>
      <c r="L20" s="69"/>
      <c r="M20" s="29"/>
      <c r="N20" s="156"/>
      <c r="O20" s="156"/>
      <c r="P20" s="156"/>
      <c r="Q20" s="156"/>
      <c r="R20" s="7"/>
      <c r="S20" s="1"/>
      <c r="T20" s="1"/>
    </row>
    <row r="21" spans="1:20" x14ac:dyDescent="0.25">
      <c r="A21" s="1" t="s">
        <v>178</v>
      </c>
      <c r="B21" s="69"/>
      <c r="C21" s="69"/>
      <c r="D21" s="69"/>
      <c r="E21" s="69"/>
      <c r="F21" s="69"/>
      <c r="G21" s="69"/>
      <c r="H21" s="69"/>
      <c r="I21" s="69"/>
      <c r="J21" s="69"/>
      <c r="K21" s="69"/>
      <c r="L21" s="69"/>
      <c r="M21" s="29"/>
      <c r="N21" s="156"/>
      <c r="O21" s="156"/>
      <c r="P21" s="156"/>
      <c r="Q21" s="156"/>
      <c r="R21" s="7"/>
      <c r="S21" s="1"/>
      <c r="T21" s="1"/>
    </row>
    <row r="22" spans="1:20" ht="16.5" thickBot="1" x14ac:dyDescent="0.3">
      <c r="B22" s="69"/>
      <c r="C22" s="69"/>
      <c r="D22" s="69"/>
      <c r="E22" s="69"/>
      <c r="F22" s="69"/>
      <c r="G22" s="69"/>
      <c r="H22" s="69"/>
      <c r="I22" s="69"/>
      <c r="J22" s="69"/>
      <c r="K22" s="69"/>
      <c r="L22" s="69"/>
      <c r="M22" s="29"/>
      <c r="N22" s="156"/>
      <c r="O22" s="156"/>
      <c r="P22" s="156"/>
      <c r="Q22" s="156"/>
      <c r="R22" s="7"/>
      <c r="S22" s="1"/>
      <c r="T22" s="1"/>
    </row>
    <row r="23" spans="1:20" ht="16.5" thickBot="1" x14ac:dyDescent="0.3">
      <c r="A23"/>
      <c r="B23" s="290" t="s">
        <v>210</v>
      </c>
      <c r="C23" s="291"/>
      <c r="D23" s="291"/>
      <c r="E23" s="291"/>
      <c r="F23" s="291"/>
      <c r="G23" s="85" t="s">
        <v>196</v>
      </c>
      <c r="H23" s="85" t="s">
        <v>209</v>
      </c>
      <c r="I23" s="85" t="s">
        <v>198</v>
      </c>
      <c r="J23" s="85" t="s">
        <v>199</v>
      </c>
      <c r="K23" s="85" t="s">
        <v>200</v>
      </c>
      <c r="L23" s="85" t="s">
        <v>201</v>
      </c>
      <c r="M23" s="28"/>
      <c r="N23" s="156"/>
      <c r="O23" s="156"/>
      <c r="P23" s="156"/>
      <c r="Q23" s="156"/>
      <c r="R23" s="7"/>
      <c r="S23" s="1"/>
      <c r="T23" s="1"/>
    </row>
    <row r="24" spans="1:20" x14ac:dyDescent="0.25">
      <c r="A24" s="2" t="s">
        <v>174</v>
      </c>
      <c r="B24" s="163" t="s">
        <v>0</v>
      </c>
      <c r="C24" s="163" t="s">
        <v>1</v>
      </c>
      <c r="D24" s="163" t="s">
        <v>2</v>
      </c>
      <c r="E24" s="163" t="s">
        <v>3</v>
      </c>
      <c r="F24" s="163" t="s">
        <v>4</v>
      </c>
      <c r="G24" s="163" t="s">
        <v>5</v>
      </c>
      <c r="H24" s="163" t="s">
        <v>6</v>
      </c>
      <c r="I24" s="163" t="s">
        <v>7</v>
      </c>
      <c r="J24" s="163" t="s">
        <v>8</v>
      </c>
      <c r="K24" s="163" t="s">
        <v>9</v>
      </c>
      <c r="L24" s="163" t="s">
        <v>10</v>
      </c>
      <c r="M24" s="164" t="s">
        <v>11</v>
      </c>
      <c r="N24" s="156"/>
      <c r="O24" s="156"/>
      <c r="P24" s="156"/>
      <c r="Q24" s="156"/>
      <c r="R24" s="7"/>
      <c r="S24" s="1"/>
      <c r="T24" s="1"/>
    </row>
    <row r="25" spans="1:20" x14ac:dyDescent="0.25">
      <c r="A25" s="2" t="s">
        <v>168</v>
      </c>
      <c r="B25" s="165">
        <f t="shared" ref="B25:L25" si="3">B14*$B$9</f>
        <v>6433920.8939683298</v>
      </c>
      <c r="C25" s="165">
        <f t="shared" si="3"/>
        <v>15010467.589055955</v>
      </c>
      <c r="D25" s="165">
        <f t="shared" si="3"/>
        <v>0</v>
      </c>
      <c r="E25" s="165">
        <f t="shared" si="3"/>
        <v>5911744.9001370464</v>
      </c>
      <c r="F25" s="165">
        <f t="shared" si="3"/>
        <v>5984463.4245865066</v>
      </c>
      <c r="G25" s="165">
        <f t="shared" si="3"/>
        <v>2410542.5830786037</v>
      </c>
      <c r="H25" s="165">
        <f t="shared" si="3"/>
        <v>1438161.1737172143</v>
      </c>
      <c r="I25" s="165">
        <f t="shared" si="3"/>
        <v>1438161.1509160635</v>
      </c>
      <c r="J25" s="165">
        <f t="shared" si="3"/>
        <v>1886755.2319233222</v>
      </c>
      <c r="K25" s="165">
        <f t="shared" si="3"/>
        <v>1886755.2775256238</v>
      </c>
      <c r="L25" s="165">
        <f t="shared" si="3"/>
        <v>1886755.2775256238</v>
      </c>
      <c r="M25" s="169">
        <f>SUM('Jan - VA Totals'!$B25:$L25)</f>
        <v>44287727.502434283</v>
      </c>
      <c r="N25" s="168">
        <f t="shared" ref="N25:N30" si="4">SUM(B25:L25)</f>
        <v>44287727.502434283</v>
      </c>
      <c r="O25" s="156"/>
      <c r="P25" s="156"/>
      <c r="Q25" s="156"/>
      <c r="R25" s="7"/>
      <c r="S25" s="1"/>
      <c r="T25" s="1"/>
    </row>
    <row r="26" spans="1:20" x14ac:dyDescent="0.25">
      <c r="A26" s="2" t="s">
        <v>169</v>
      </c>
      <c r="B26" s="165">
        <f t="shared" ref="B26:L26" si="5">B15*$B$9</f>
        <v>0</v>
      </c>
      <c r="C26" s="165">
        <f t="shared" si="5"/>
        <v>0</v>
      </c>
      <c r="D26" s="165">
        <f t="shared" si="5"/>
        <v>12014044.010602357</v>
      </c>
      <c r="E26" s="165">
        <f t="shared" si="5"/>
        <v>12535356.661661377</v>
      </c>
      <c r="F26" s="165">
        <f t="shared" si="5"/>
        <v>14462185.850887308</v>
      </c>
      <c r="G26" s="165">
        <f t="shared" si="5"/>
        <v>1238678.7395881817</v>
      </c>
      <c r="H26" s="165">
        <f t="shared" si="5"/>
        <v>1238678.7395881817</v>
      </c>
      <c r="I26" s="165">
        <f t="shared" si="5"/>
        <v>1238678.7167870309</v>
      </c>
      <c r="J26" s="165">
        <f t="shared" si="5"/>
        <v>1786960.4093533764</v>
      </c>
      <c r="K26" s="165">
        <f t="shared" si="5"/>
        <v>1786960.3865522256</v>
      </c>
      <c r="L26" s="165">
        <f t="shared" si="5"/>
        <v>1786960.3865522256</v>
      </c>
      <c r="M26" s="169">
        <f>SUM('Jan - VA Totals'!$D26:$L26)</f>
        <v>48088503.90157225</v>
      </c>
      <c r="N26" s="168">
        <f t="shared" si="4"/>
        <v>48088503.90157225</v>
      </c>
      <c r="O26" s="156"/>
      <c r="P26" s="156"/>
      <c r="Q26" s="156"/>
      <c r="R26" s="7"/>
      <c r="S26" s="1"/>
      <c r="T26" s="1"/>
    </row>
    <row r="27" spans="1:20" x14ac:dyDescent="0.25">
      <c r="A27" s="2" t="s">
        <v>170</v>
      </c>
      <c r="B27" s="165">
        <f>B17*$B$9</f>
        <v>0</v>
      </c>
      <c r="C27" s="165">
        <f>C17*$B$9</f>
        <v>0</v>
      </c>
      <c r="D27" s="122">
        <f t="shared" ref="D27:L27" si="6">D16*$B$9</f>
        <v>7208426.4063614132</v>
      </c>
      <c r="E27" s="122">
        <f t="shared" si="6"/>
        <v>7521213.9969968265</v>
      </c>
      <c r="F27" s="122">
        <f t="shared" si="6"/>
        <v>8677311.5105323847</v>
      </c>
      <c r="G27" s="122">
        <f t="shared" si="6"/>
        <v>743207.24375290889</v>
      </c>
      <c r="H27" s="122">
        <f t="shared" si="6"/>
        <v>743207.24375290889</v>
      </c>
      <c r="I27" s="122">
        <f t="shared" si="6"/>
        <v>743207.23007221858</v>
      </c>
      <c r="J27" s="122">
        <f t="shared" si="6"/>
        <v>1072176.2456120257</v>
      </c>
      <c r="K27" s="122">
        <f t="shared" si="6"/>
        <v>1072176.2319313353</v>
      </c>
      <c r="L27" s="122">
        <f t="shared" si="6"/>
        <v>1072176.2319313353</v>
      </c>
      <c r="M27" s="122">
        <f>SUM('Jan - VA Totals'!$D27:$L27)</f>
        <v>28853102.340943355</v>
      </c>
      <c r="N27" s="168">
        <f t="shared" si="4"/>
        <v>28853102.340943355</v>
      </c>
      <c r="O27" s="122"/>
      <c r="P27" s="122"/>
      <c r="Q27" s="122"/>
    </row>
    <row r="28" spans="1:20" x14ac:dyDescent="0.25">
      <c r="A28" s="2" t="s">
        <v>171</v>
      </c>
      <c r="B28" s="165">
        <f>B17*$B$9</f>
        <v>0</v>
      </c>
      <c r="C28" s="165">
        <f>C17*$B$9</f>
        <v>0</v>
      </c>
      <c r="D28" s="122">
        <f t="shared" ref="D28:L28" si="7">D17*$B$9</f>
        <v>4805617.6042409427</v>
      </c>
      <c r="E28" s="122">
        <f t="shared" si="7"/>
        <v>5014142.6646645516</v>
      </c>
      <c r="F28" s="122">
        <f t="shared" si="7"/>
        <v>5784874.3403549241</v>
      </c>
      <c r="G28" s="122">
        <f t="shared" si="7"/>
        <v>495471.49583527271</v>
      </c>
      <c r="H28" s="122">
        <f t="shared" si="7"/>
        <v>495471.49583527271</v>
      </c>
      <c r="I28" s="122">
        <f t="shared" si="7"/>
        <v>495471.4867148124</v>
      </c>
      <c r="J28" s="122">
        <f t="shared" si="7"/>
        <v>714784.16374135052</v>
      </c>
      <c r="K28" s="122">
        <f t="shared" si="7"/>
        <v>714784.15462089016</v>
      </c>
      <c r="L28" s="122">
        <f t="shared" si="7"/>
        <v>714784.15462089016</v>
      </c>
      <c r="M28" s="122">
        <f>SUM('Jan - VA Totals'!$D28:$L28)</f>
        <v>19235401.560628906</v>
      </c>
      <c r="N28" s="168"/>
      <c r="O28" s="122"/>
      <c r="P28" s="122"/>
      <c r="Q28" s="122"/>
    </row>
    <row r="29" spans="1:20" x14ac:dyDescent="0.25">
      <c r="A29" s="11" t="s">
        <v>172</v>
      </c>
      <c r="B29" s="170">
        <f>B18*$B$9</f>
        <v>0</v>
      </c>
      <c r="C29" s="170">
        <f>C18*$B$9</f>
        <v>0</v>
      </c>
      <c r="D29" s="170">
        <f t="shared" ref="D29:L29" si="8">D18*$B$9</f>
        <v>0</v>
      </c>
      <c r="E29" s="170">
        <f t="shared" si="8"/>
        <v>0</v>
      </c>
      <c r="F29" s="170">
        <f t="shared" si="8"/>
        <v>0</v>
      </c>
      <c r="G29" s="170">
        <f t="shared" si="8"/>
        <v>0</v>
      </c>
      <c r="H29" s="170">
        <f t="shared" si="8"/>
        <v>972381.38656023855</v>
      </c>
      <c r="I29" s="170">
        <f t="shared" si="8"/>
        <v>972381.38656023855</v>
      </c>
      <c r="J29" s="170">
        <f t="shared" si="8"/>
        <v>972381.38656023855</v>
      </c>
      <c r="K29" s="170">
        <f t="shared" si="8"/>
        <v>972381.38656023855</v>
      </c>
      <c r="L29" s="170">
        <f t="shared" si="8"/>
        <v>972381.36375908786</v>
      </c>
      <c r="M29" s="173">
        <f>SUM('Jan - VA Totals'!$H29:$L29)</f>
        <v>4861906.9100000421</v>
      </c>
      <c r="N29" s="168">
        <f t="shared" si="4"/>
        <v>4861906.9100000421</v>
      </c>
      <c r="O29" s="122"/>
      <c r="P29" s="122"/>
      <c r="Q29" s="122"/>
    </row>
    <row r="30" spans="1:20" x14ac:dyDescent="0.25">
      <c r="A30" s="2" t="s">
        <v>173</v>
      </c>
      <c r="B30" s="165">
        <f t="shared" ref="B30:L30" si="9">B19*$B$10</f>
        <v>464349.06839915685</v>
      </c>
      <c r="C30" s="165"/>
      <c r="D30" s="165">
        <f>D19*$B$10</f>
        <v>812610.86984943796</v>
      </c>
      <c r="E30" s="165">
        <f>E19*$B$10</f>
        <v>754567.23637500009</v>
      </c>
      <c r="F30" s="165">
        <f t="shared" si="9"/>
        <v>0</v>
      </c>
      <c r="G30" s="165">
        <f t="shared" si="9"/>
        <v>0</v>
      </c>
      <c r="H30" s="165">
        <f t="shared" si="9"/>
        <v>0</v>
      </c>
      <c r="I30" s="165">
        <f t="shared" si="9"/>
        <v>0</v>
      </c>
      <c r="J30" s="165">
        <f t="shared" si="9"/>
        <v>0</v>
      </c>
      <c r="K30" s="165">
        <f t="shared" si="9"/>
        <v>0</v>
      </c>
      <c r="L30" s="165">
        <f t="shared" si="9"/>
        <v>0</v>
      </c>
      <c r="M30" s="169">
        <f>SUM('Jan - VA Totals'!$B30:$E30)</f>
        <v>2031527.1746235949</v>
      </c>
      <c r="N30" s="168">
        <f t="shared" si="4"/>
        <v>2031527.1746235949</v>
      </c>
      <c r="O30" s="122"/>
      <c r="P30" s="122"/>
      <c r="Q30" s="122"/>
    </row>
    <row r="31" spans="1:20" x14ac:dyDescent="0.25">
      <c r="B31" s="174"/>
      <c r="C31" s="174"/>
      <c r="D31" s="174"/>
      <c r="E31" s="174"/>
      <c r="F31" s="174"/>
      <c r="G31" s="174"/>
      <c r="H31" s="174"/>
      <c r="I31" s="174"/>
      <c r="J31" s="174"/>
      <c r="K31" s="174"/>
      <c r="L31" s="174"/>
      <c r="M31" s="29"/>
      <c r="N31" s="156"/>
      <c r="O31" s="122"/>
      <c r="P31" s="122"/>
      <c r="Q31" s="122"/>
    </row>
    <row r="32" spans="1:20" x14ac:dyDescent="0.25">
      <c r="A32" s="1" t="s">
        <v>175</v>
      </c>
      <c r="B32" s="3"/>
      <c r="C32" s="3"/>
      <c r="D32" s="3"/>
      <c r="E32" s="3"/>
      <c r="F32" s="3"/>
      <c r="G32" s="3"/>
      <c r="H32" s="3"/>
      <c r="I32" s="3"/>
      <c r="J32" s="3"/>
      <c r="K32" s="3"/>
      <c r="L32" s="3"/>
      <c r="M32" s="3"/>
      <c r="N32" s="7"/>
      <c r="O32" s="7"/>
      <c r="P32" s="7"/>
      <c r="Q32" s="7"/>
      <c r="R32" s="7"/>
      <c r="S32" s="1"/>
      <c r="T32" s="1"/>
    </row>
    <row r="33" spans="1:20" x14ac:dyDescent="0.25">
      <c r="A33" s="1" t="s">
        <v>176</v>
      </c>
      <c r="B33" s="3"/>
      <c r="C33" s="3"/>
      <c r="D33" s="3"/>
      <c r="E33" s="3"/>
      <c r="F33" s="3"/>
      <c r="G33" s="3"/>
      <c r="H33" s="3"/>
      <c r="I33" s="3"/>
      <c r="J33" s="3"/>
      <c r="K33" s="3"/>
      <c r="L33" s="3"/>
      <c r="M33" s="3"/>
      <c r="N33" s="7"/>
      <c r="O33" s="7"/>
      <c r="P33" s="7"/>
      <c r="Q33" s="7"/>
      <c r="R33" s="7"/>
      <c r="S33" s="1"/>
      <c r="T33" s="1"/>
    </row>
    <row r="34" spans="1:20" x14ac:dyDescent="0.25">
      <c r="A34"/>
      <c r="B34"/>
      <c r="C34"/>
      <c r="D34"/>
      <c r="E34"/>
      <c r="F34"/>
      <c r="G34"/>
      <c r="H34"/>
      <c r="I34"/>
      <c r="J34"/>
      <c r="K34"/>
      <c r="L34"/>
      <c r="M34"/>
      <c r="N34"/>
      <c r="O34" s="7"/>
      <c r="P34" s="7"/>
      <c r="Q34" s="7"/>
      <c r="R34" s="7"/>
      <c r="S34" s="1"/>
      <c r="T34" s="1"/>
    </row>
    <row r="35" spans="1:20" x14ac:dyDescent="0.25">
      <c r="A35" s="56" t="s">
        <v>214</v>
      </c>
      <c r="B35"/>
      <c r="C35"/>
      <c r="D35"/>
      <c r="E35"/>
      <c r="F35"/>
      <c r="G35"/>
      <c r="H35"/>
      <c r="I35"/>
      <c r="J35"/>
      <c r="K35"/>
      <c r="L35"/>
      <c r="M35"/>
      <c r="N35"/>
      <c r="O35" s="7"/>
      <c r="P35" s="7"/>
      <c r="Q35" s="7"/>
      <c r="R35" s="7"/>
      <c r="S35" s="1"/>
      <c r="T35" s="1"/>
    </row>
    <row r="36" spans="1:20" x14ac:dyDescent="0.25">
      <c r="A36" s="58" t="s">
        <v>174</v>
      </c>
      <c r="B36"/>
      <c r="C36"/>
      <c r="D36"/>
      <c r="E36"/>
      <c r="F36"/>
      <c r="G36"/>
      <c r="H36"/>
      <c r="I36"/>
      <c r="J36"/>
      <c r="K36"/>
      <c r="L36"/>
      <c r="M36"/>
      <c r="N36"/>
      <c r="O36" s="7"/>
      <c r="P36" s="7"/>
      <c r="Q36" s="7"/>
      <c r="R36" s="7"/>
      <c r="S36" s="1"/>
      <c r="T36" s="1"/>
    </row>
    <row r="37" spans="1:20" x14ac:dyDescent="0.25">
      <c r="A37" s="58" t="s">
        <v>168</v>
      </c>
      <c r="B37" s="56" t="str">
        <f t="shared" ref="B37:L37" si="10">IF((B14*$B$9)=B25,"AGREES","DIFFERENCE")</f>
        <v>AGREES</v>
      </c>
      <c r="C37" s="56" t="str">
        <f t="shared" si="10"/>
        <v>AGREES</v>
      </c>
      <c r="D37" s="56" t="str">
        <f t="shared" si="10"/>
        <v>AGREES</v>
      </c>
      <c r="E37" s="56" t="str">
        <f t="shared" si="10"/>
        <v>AGREES</v>
      </c>
      <c r="F37" s="56" t="str">
        <f t="shared" si="10"/>
        <v>AGREES</v>
      </c>
      <c r="G37" s="56" t="str">
        <f t="shared" si="10"/>
        <v>AGREES</v>
      </c>
      <c r="H37" s="56" t="str">
        <f t="shared" si="10"/>
        <v>AGREES</v>
      </c>
      <c r="I37" s="56" t="str">
        <f t="shared" si="10"/>
        <v>AGREES</v>
      </c>
      <c r="J37" s="56" t="str">
        <f t="shared" si="10"/>
        <v>AGREES</v>
      </c>
      <c r="K37" s="56" t="str">
        <f t="shared" si="10"/>
        <v>AGREES</v>
      </c>
      <c r="L37" s="56" t="str">
        <f t="shared" si="10"/>
        <v>AGREES</v>
      </c>
      <c r="M37"/>
      <c r="N37"/>
      <c r="O37" s="7"/>
      <c r="P37" s="7"/>
      <c r="Q37" s="7"/>
      <c r="R37" s="7"/>
      <c r="S37" s="1"/>
      <c r="T37" s="1"/>
    </row>
    <row r="38" spans="1:20" x14ac:dyDescent="0.25">
      <c r="A38" s="58" t="s">
        <v>169</v>
      </c>
      <c r="B38" s="56" t="str">
        <f>IF((B15*$B$9)=B26,"AGREES","DIFFERENCE")</f>
        <v>AGREES</v>
      </c>
      <c r="C38" s="56" t="str">
        <f>IF((C15*$B$9)=C26,"AGREES","DIFFERENCE")</f>
        <v>AGREES</v>
      </c>
      <c r="D38" s="56" t="str">
        <f t="shared" ref="D38:L38" si="11">IF((D15*$B$9)=D26,"AGREES","DIFFERENCE")</f>
        <v>AGREES</v>
      </c>
      <c r="E38" s="56" t="str">
        <f t="shared" si="11"/>
        <v>AGREES</v>
      </c>
      <c r="F38" s="56" t="str">
        <f t="shared" si="11"/>
        <v>AGREES</v>
      </c>
      <c r="G38" s="56" t="str">
        <f t="shared" si="11"/>
        <v>AGREES</v>
      </c>
      <c r="H38" s="56" t="str">
        <f t="shared" si="11"/>
        <v>AGREES</v>
      </c>
      <c r="I38" s="56" t="str">
        <f t="shared" si="11"/>
        <v>AGREES</v>
      </c>
      <c r="J38" s="56" t="str">
        <f t="shared" si="11"/>
        <v>AGREES</v>
      </c>
      <c r="K38" s="56" t="str">
        <f t="shared" si="11"/>
        <v>AGREES</v>
      </c>
      <c r="L38" s="56" t="str">
        <f t="shared" si="11"/>
        <v>AGREES</v>
      </c>
      <c r="M38"/>
      <c r="N38"/>
      <c r="O38" s="7"/>
      <c r="P38" s="7"/>
      <c r="Q38" s="7"/>
      <c r="R38" s="7"/>
      <c r="S38" s="1"/>
      <c r="T38" s="1"/>
    </row>
    <row r="39" spans="1:20" x14ac:dyDescent="0.25">
      <c r="A39" s="58" t="s">
        <v>170</v>
      </c>
      <c r="B39" s="79" t="s">
        <v>339</v>
      </c>
      <c r="C39" s="79" t="s">
        <v>339</v>
      </c>
      <c r="D39" s="79" t="s">
        <v>339</v>
      </c>
      <c r="E39" s="79" t="s">
        <v>339</v>
      </c>
      <c r="F39" s="79" t="s">
        <v>339</v>
      </c>
      <c r="G39" s="79" t="s">
        <v>339</v>
      </c>
      <c r="H39" s="79" t="s">
        <v>339</v>
      </c>
      <c r="I39" s="79" t="s">
        <v>339</v>
      </c>
      <c r="J39" s="79" t="s">
        <v>339</v>
      </c>
      <c r="K39" s="79" t="s">
        <v>339</v>
      </c>
      <c r="L39" s="79" t="s">
        <v>339</v>
      </c>
      <c r="M39"/>
      <c r="N39"/>
    </row>
    <row r="40" spans="1:20" x14ac:dyDescent="0.25">
      <c r="A40" s="58" t="s">
        <v>171</v>
      </c>
      <c r="B40" s="79" t="s">
        <v>339</v>
      </c>
      <c r="C40" s="79" t="s">
        <v>339</v>
      </c>
      <c r="D40" s="79" t="s">
        <v>339</v>
      </c>
      <c r="E40" s="79" t="s">
        <v>339</v>
      </c>
      <c r="F40" s="79" t="s">
        <v>339</v>
      </c>
      <c r="G40" s="79" t="s">
        <v>339</v>
      </c>
      <c r="H40" s="79" t="s">
        <v>339</v>
      </c>
      <c r="I40" s="79" t="s">
        <v>339</v>
      </c>
      <c r="J40" s="79" t="s">
        <v>339</v>
      </c>
      <c r="K40" s="79" t="s">
        <v>339</v>
      </c>
      <c r="L40" s="79" t="s">
        <v>339</v>
      </c>
      <c r="M40"/>
      <c r="N40"/>
    </row>
    <row r="41" spans="1:20" x14ac:dyDescent="0.25">
      <c r="A41" s="62" t="s">
        <v>172</v>
      </c>
      <c r="B41" s="56" t="str">
        <f>IF((B18*$B$9)=B29,"AGREES","DIFFERENCE")</f>
        <v>AGREES</v>
      </c>
      <c r="C41" s="56" t="str">
        <f>IF((C18*$B$9)=C29,"AGREES","DIFFERENCE")</f>
        <v>AGREES</v>
      </c>
      <c r="D41" s="56" t="str">
        <f t="shared" ref="D41:L41" si="12">IF((D18*$B$9)=D29,"AGREES","DIFFERENCE")</f>
        <v>AGREES</v>
      </c>
      <c r="E41" s="56" t="str">
        <f t="shared" si="12"/>
        <v>AGREES</v>
      </c>
      <c r="F41" s="56" t="str">
        <f t="shared" si="12"/>
        <v>AGREES</v>
      </c>
      <c r="G41" s="56" t="str">
        <f t="shared" si="12"/>
        <v>AGREES</v>
      </c>
      <c r="H41" s="56" t="str">
        <f t="shared" si="12"/>
        <v>AGREES</v>
      </c>
      <c r="I41" s="56" t="str">
        <f t="shared" si="12"/>
        <v>AGREES</v>
      </c>
      <c r="J41" s="56" t="str">
        <f t="shared" si="12"/>
        <v>AGREES</v>
      </c>
      <c r="K41" s="56" t="str">
        <f t="shared" si="12"/>
        <v>AGREES</v>
      </c>
      <c r="L41" s="56" t="str">
        <f t="shared" si="12"/>
        <v>AGREES</v>
      </c>
      <c r="M41"/>
      <c r="N41"/>
    </row>
    <row r="42" spans="1:20" x14ac:dyDescent="0.25">
      <c r="A42" s="58" t="s">
        <v>173</v>
      </c>
      <c r="B42" s="56" t="str">
        <f t="shared" ref="B42:L42" si="13">IF((B19*$B$10)=B30,"AGREES","DIFFERENCE")</f>
        <v>AGREES</v>
      </c>
      <c r="C42" s="56" t="str">
        <f t="shared" si="13"/>
        <v>AGREES</v>
      </c>
      <c r="D42" s="56" t="str">
        <f t="shared" si="13"/>
        <v>AGREES</v>
      </c>
      <c r="E42" s="56" t="str">
        <f t="shared" si="13"/>
        <v>AGREES</v>
      </c>
      <c r="F42" s="56" t="str">
        <f t="shared" si="13"/>
        <v>AGREES</v>
      </c>
      <c r="G42" s="56" t="str">
        <f t="shared" si="13"/>
        <v>AGREES</v>
      </c>
      <c r="H42" s="56" t="str">
        <f t="shared" si="13"/>
        <v>AGREES</v>
      </c>
      <c r="I42" s="56" t="str">
        <f t="shared" si="13"/>
        <v>AGREES</v>
      </c>
      <c r="J42" s="56" t="str">
        <f t="shared" si="13"/>
        <v>AGREES</v>
      </c>
      <c r="K42" s="56" t="str">
        <f t="shared" si="13"/>
        <v>AGREES</v>
      </c>
      <c r="L42" s="56" t="str">
        <f t="shared" si="13"/>
        <v>AGREES</v>
      </c>
      <c r="M42" s="56"/>
      <c r="N42"/>
      <c r="O42" s="7"/>
      <c r="P42" s="7"/>
      <c r="Q42" s="7"/>
      <c r="R42" s="7"/>
      <c r="S42" s="1"/>
      <c r="T42" s="1"/>
    </row>
    <row r="43" spans="1:20" x14ac:dyDescent="0.25">
      <c r="A43"/>
      <c r="B43"/>
      <c r="C43"/>
      <c r="D43"/>
      <c r="E43"/>
      <c r="F43"/>
      <c r="G43"/>
      <c r="H43"/>
      <c r="I43"/>
      <c r="J43"/>
      <c r="K43"/>
      <c r="L43"/>
      <c r="M43"/>
      <c r="N43"/>
      <c r="O43" s="7"/>
      <c r="P43" s="7"/>
      <c r="Q43" s="7"/>
      <c r="R43" s="7"/>
      <c r="S43" s="1"/>
      <c r="T43" s="1"/>
    </row>
    <row r="44" spans="1:20" s="157" customFormat="1" ht="30" x14ac:dyDescent="0.25">
      <c r="A44" s="154" t="s">
        <v>217</v>
      </c>
      <c r="B44" s="155">
        <f>B25+C25+D26+E25+E26+F25+F26</f>
        <v>72352183.330898881</v>
      </c>
      <c r="C44" s="155">
        <v>0</v>
      </c>
      <c r="D44" s="155">
        <v>0</v>
      </c>
      <c r="E44" s="155">
        <v>0</v>
      </c>
      <c r="F44" s="155">
        <v>0</v>
      </c>
      <c r="G44" s="155">
        <f>G25+G26</f>
        <v>3649221.3226667857</v>
      </c>
      <c r="H44" s="155">
        <f>H25+H26+H29</f>
        <v>3649221.2998656346</v>
      </c>
      <c r="I44" s="155">
        <f>I25+I26+I29</f>
        <v>3649221.2542633326</v>
      </c>
      <c r="J44" s="155">
        <f t="shared" ref="J44:L44" si="14">J25+J26+J29</f>
        <v>4646097.0278369375</v>
      </c>
      <c r="K44" s="155">
        <f t="shared" si="14"/>
        <v>4646097.050638088</v>
      </c>
      <c r="L44" s="155">
        <f t="shared" si="14"/>
        <v>4646097.0278369375</v>
      </c>
      <c r="M44" s="110"/>
      <c r="N44" s="110"/>
      <c r="O44" s="156"/>
      <c r="P44" s="156"/>
      <c r="Q44" s="156"/>
      <c r="R44" s="156"/>
    </row>
    <row r="45" spans="1:20" s="157" customFormat="1" x14ac:dyDescent="0.25">
      <c r="A45" s="154" t="s">
        <v>216</v>
      </c>
      <c r="B45" s="155">
        <f>B30</f>
        <v>464349.06839915685</v>
      </c>
      <c r="C45" s="155"/>
      <c r="D45" s="155">
        <f>D30</f>
        <v>812610.86984943796</v>
      </c>
      <c r="E45" s="155">
        <f>E30</f>
        <v>754567.23637500009</v>
      </c>
      <c r="F45" s="155"/>
      <c r="G45" s="155"/>
      <c r="H45" s="155"/>
      <c r="I45" s="155"/>
      <c r="J45" s="155"/>
      <c r="K45" s="155"/>
      <c r="L45" s="155"/>
      <c r="M45" s="110"/>
      <c r="N45" s="110"/>
      <c r="O45" s="156"/>
      <c r="P45" s="156"/>
      <c r="Q45" s="156"/>
      <c r="R45" s="156"/>
    </row>
    <row r="46" spans="1:20" s="157" customFormat="1" ht="16.5" thickBot="1" x14ac:dyDescent="0.3">
      <c r="A46" s="110"/>
      <c r="B46" s="158">
        <f>SUM(B44:B45)</f>
        <v>72816532.399298042</v>
      </c>
      <c r="C46" s="110"/>
      <c r="D46" s="110"/>
      <c r="E46" s="110"/>
      <c r="F46" s="110"/>
      <c r="G46" s="110"/>
      <c r="H46" s="110"/>
      <c r="I46" s="110"/>
      <c r="J46" s="110"/>
      <c r="K46" s="110"/>
      <c r="L46" s="110"/>
      <c r="M46" s="110"/>
      <c r="N46" s="110"/>
      <c r="O46" s="156"/>
      <c r="P46" s="156"/>
      <c r="Q46" s="156"/>
      <c r="R46" s="156"/>
    </row>
    <row r="47" spans="1:20" s="157" customFormat="1" ht="16.5" thickTop="1" x14ac:dyDescent="0.25">
      <c r="A47" s="110"/>
      <c r="B47" s="159"/>
      <c r="C47" s="110"/>
      <c r="D47" s="110"/>
      <c r="E47" s="110"/>
      <c r="F47" s="110"/>
      <c r="G47" s="110"/>
      <c r="H47" s="110"/>
      <c r="I47" s="110"/>
      <c r="J47" s="110"/>
      <c r="K47" s="110"/>
      <c r="L47" s="110"/>
      <c r="M47" s="110"/>
      <c r="N47" s="110"/>
      <c r="O47" s="156"/>
      <c r="P47" s="156"/>
      <c r="Q47" s="156"/>
      <c r="R47" s="156"/>
    </row>
    <row r="48" spans="1:20" x14ac:dyDescent="0.25">
      <c r="A48"/>
      <c r="B48"/>
      <c r="C48"/>
      <c r="D48"/>
      <c r="E48"/>
      <c r="F48"/>
      <c r="G48"/>
      <c r="H48"/>
      <c r="I48"/>
      <c r="J48"/>
      <c r="K48"/>
      <c r="L48"/>
      <c r="M48"/>
      <c r="N48"/>
      <c r="O48" s="7"/>
      <c r="P48" s="7"/>
      <c r="Q48" s="7"/>
      <c r="R48" s="7"/>
      <c r="S48" s="1"/>
      <c r="T48" s="1"/>
    </row>
    <row r="49" spans="1:20" x14ac:dyDescent="0.25">
      <c r="A49"/>
      <c r="B49"/>
      <c r="C49" s="101"/>
      <c r="F49"/>
      <c r="G49"/>
      <c r="H49"/>
      <c r="I49"/>
      <c r="J49"/>
      <c r="K49"/>
      <c r="L49"/>
      <c r="M49"/>
      <c r="N49"/>
      <c r="O49" s="7"/>
      <c r="P49" s="7"/>
      <c r="Q49" s="7"/>
      <c r="R49" s="7"/>
      <c r="S49" s="1"/>
      <c r="T49" s="1"/>
    </row>
    <row r="50" spans="1:20" s="5" customFormat="1" x14ac:dyDescent="0.25">
      <c r="A50"/>
      <c r="B50"/>
      <c r="C50" s="101"/>
      <c r="E50"/>
      <c r="F50"/>
      <c r="G50"/>
      <c r="H50"/>
      <c r="I50"/>
      <c r="J50"/>
      <c r="K50"/>
      <c r="L50"/>
      <c r="M50"/>
      <c r="N50"/>
      <c r="O50" s="8"/>
      <c r="P50" s="8"/>
      <c r="Q50" s="8"/>
      <c r="R50" s="8"/>
    </row>
    <row r="51" spans="1:20" x14ac:dyDescent="0.25">
      <c r="A51"/>
      <c r="B51"/>
      <c r="C51" s="101"/>
      <c r="E51"/>
      <c r="F51"/>
      <c r="G51"/>
      <c r="H51"/>
      <c r="I51"/>
      <c r="J51"/>
      <c r="K51"/>
      <c r="L51"/>
      <c r="M51"/>
      <c r="N51"/>
      <c r="O51" s="7"/>
      <c r="P51" s="7"/>
      <c r="Q51" s="7"/>
      <c r="R51" s="7"/>
      <c r="S51" s="1"/>
      <c r="T51" s="1"/>
    </row>
    <row r="52" spans="1:20" x14ac:dyDescent="0.25">
      <c r="A52"/>
      <c r="B52"/>
      <c r="C52"/>
      <c r="E52"/>
      <c r="F52"/>
      <c r="G52"/>
      <c r="H52"/>
      <c r="I52"/>
      <c r="J52"/>
      <c r="K52"/>
      <c r="L52"/>
      <c r="M52"/>
      <c r="N52"/>
      <c r="O52" s="7"/>
      <c r="P52" s="7"/>
      <c r="Q52" s="7"/>
      <c r="R52" s="7"/>
      <c r="S52" s="1"/>
      <c r="T52" s="1"/>
    </row>
    <row r="53" spans="1:20" x14ac:dyDescent="0.25">
      <c r="A53"/>
      <c r="B53"/>
      <c r="C53" s="101"/>
      <c r="E53"/>
      <c r="F53"/>
      <c r="G53"/>
      <c r="H53"/>
      <c r="I53"/>
      <c r="J53"/>
      <c r="K53"/>
      <c r="L53"/>
      <c r="M53"/>
      <c r="N53"/>
      <c r="O53" s="7"/>
      <c r="P53" s="7"/>
      <c r="Q53" s="7"/>
      <c r="R53" s="7"/>
      <c r="S53" s="1"/>
      <c r="T53" s="1"/>
    </row>
    <row r="54" spans="1:20" x14ac:dyDescent="0.25">
      <c r="A54"/>
      <c r="B54"/>
      <c r="C54" s="101"/>
      <c r="E54"/>
      <c r="F54"/>
      <c r="G54"/>
      <c r="H54"/>
      <c r="I54"/>
      <c r="J54"/>
      <c r="K54"/>
      <c r="L54"/>
      <c r="M54"/>
      <c r="N54"/>
    </row>
    <row r="55" spans="1:20" x14ac:dyDescent="0.25">
      <c r="A55"/>
      <c r="B55"/>
      <c r="C55"/>
      <c r="E55"/>
      <c r="F55"/>
      <c r="G55"/>
      <c r="H55"/>
      <c r="I55"/>
      <c r="J55"/>
      <c r="K55"/>
      <c r="L55"/>
      <c r="M55"/>
      <c r="N55"/>
    </row>
    <row r="56" spans="1:20" x14ac:dyDescent="0.25">
      <c r="A56"/>
      <c r="B56"/>
      <c r="C56"/>
      <c r="E56"/>
      <c r="F56"/>
      <c r="G56"/>
      <c r="H56"/>
      <c r="I56"/>
      <c r="J56"/>
      <c r="K56"/>
      <c r="L56"/>
      <c r="M56"/>
      <c r="N56"/>
    </row>
    <row r="57" spans="1:20" x14ac:dyDescent="0.25">
      <c r="A57"/>
      <c r="B57"/>
      <c r="C57"/>
      <c r="E57"/>
      <c r="F57"/>
      <c r="G57"/>
      <c r="H57"/>
      <c r="I57"/>
      <c r="J57"/>
      <c r="K57"/>
      <c r="L57"/>
      <c r="M57"/>
      <c r="N57"/>
    </row>
    <row r="58" spans="1:20" x14ac:dyDescent="0.25">
      <c r="A58"/>
      <c r="B58"/>
      <c r="C58"/>
      <c r="E58"/>
      <c r="F58"/>
      <c r="G58"/>
      <c r="H58"/>
      <c r="I58"/>
      <c r="J58"/>
      <c r="K58"/>
      <c r="L58"/>
      <c r="M58"/>
      <c r="N58"/>
    </row>
    <row r="59" spans="1:20" x14ac:dyDescent="0.25">
      <c r="A59"/>
      <c r="B59"/>
      <c r="C59"/>
      <c r="E59"/>
      <c r="F59"/>
      <c r="G59"/>
      <c r="H59"/>
      <c r="I59"/>
      <c r="J59"/>
      <c r="K59"/>
      <c r="L59"/>
      <c r="M59"/>
      <c r="N59"/>
    </row>
    <row r="60" spans="1:20" x14ac:dyDescent="0.25">
      <c r="A60"/>
      <c r="B60"/>
      <c r="C60"/>
      <c r="D60"/>
      <c r="E60"/>
      <c r="F60"/>
      <c r="G60"/>
      <c r="H60"/>
      <c r="I60"/>
      <c r="J60"/>
      <c r="K60"/>
      <c r="L60"/>
      <c r="M60"/>
      <c r="N60"/>
    </row>
    <row r="61" spans="1:20" x14ac:dyDescent="0.25">
      <c r="A61"/>
      <c r="B61"/>
      <c r="C61"/>
      <c r="D61"/>
      <c r="E61"/>
      <c r="F61"/>
      <c r="G61"/>
      <c r="H61"/>
      <c r="I61"/>
      <c r="J61"/>
      <c r="K61"/>
      <c r="L61"/>
      <c r="M61"/>
      <c r="N61"/>
    </row>
    <row r="62" spans="1:20" x14ac:dyDescent="0.25">
      <c r="A62"/>
      <c r="B62"/>
      <c r="C62"/>
      <c r="D62"/>
      <c r="E62"/>
      <c r="F62"/>
      <c r="G62"/>
      <c r="H62"/>
      <c r="I62"/>
      <c r="J62"/>
      <c r="K62"/>
      <c r="L62"/>
      <c r="M62"/>
      <c r="N62"/>
    </row>
    <row r="63" spans="1:20" x14ac:dyDescent="0.25">
      <c r="A63"/>
      <c r="B63"/>
      <c r="C63"/>
      <c r="D63"/>
      <c r="E63"/>
      <c r="F63"/>
      <c r="G63"/>
      <c r="H63"/>
      <c r="I63"/>
      <c r="J63"/>
      <c r="K63"/>
      <c r="L63"/>
      <c r="M63"/>
      <c r="N63"/>
    </row>
    <row r="64" spans="1:20"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row>
    <row r="76" spans="1:14" x14ac:dyDescent="0.25">
      <c r="A76"/>
    </row>
  </sheetData>
  <sheetProtection algorithmName="SHA-512" hashValue="2lxrpBbb02umCTrWFqRa/Qf1T3bRUG8DDy09JugF20+LsV0p+VOkfD5QgyW+XsLULABVA3CMvxegg7HQQF2Lfw==" saltValue="fmxZlQOOjAX4EdHpWHqsnw==" spinCount="100000" sheet="1" objects="1" scenarios="1"/>
  <mergeCells count="3">
    <mergeCell ref="B23:F23"/>
    <mergeCell ref="E6:G7"/>
    <mergeCell ref="B2:G2"/>
  </mergeCells>
  <phoneticPr fontId="1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C2DF-2F13-4B8C-8C3E-2FDC6B62363C}">
  <sheetPr>
    <tabColor rgb="FF0070C0"/>
  </sheetPr>
  <dimension ref="A1:Q143"/>
  <sheetViews>
    <sheetView workbookViewId="0"/>
  </sheetViews>
  <sheetFormatPr defaultRowHeight="15.75" x14ac:dyDescent="0.25"/>
  <cols>
    <col min="1" max="1" width="15.625" customWidth="1"/>
    <col min="2" max="2" width="17.125" style="76" customWidth="1"/>
    <col min="3" max="3" width="23.125" customWidth="1"/>
    <col min="4" max="4" width="17.25" style="74" customWidth="1"/>
    <col min="5" max="6" width="15.625" customWidth="1"/>
    <col min="7" max="7" width="9.25" customWidth="1"/>
    <col min="8" max="9" width="15.625" customWidth="1"/>
    <col min="10" max="10" width="10.5" customWidth="1"/>
    <col min="11" max="12" width="15.625" customWidth="1"/>
    <col min="13" max="13" width="17.5" style="74" hidden="1" customWidth="1"/>
    <col min="14" max="15" width="13.625" style="86" customWidth="1"/>
    <col min="16" max="16" width="11.75" style="86" customWidth="1"/>
    <col min="17" max="17" width="11.25" bestFit="1" customWidth="1"/>
  </cols>
  <sheetData>
    <row r="1" spans="1:17" x14ac:dyDescent="0.25">
      <c r="A1" s="88" t="s">
        <v>336</v>
      </c>
      <c r="C1" s="32"/>
    </row>
    <row r="2" spans="1:17" ht="73.150000000000006" customHeight="1" x14ac:dyDescent="0.25">
      <c r="A2" s="175">
        <v>1</v>
      </c>
      <c r="B2" s="283" t="s">
        <v>342</v>
      </c>
      <c r="C2" s="283"/>
      <c r="D2" s="283"/>
      <c r="E2" s="283"/>
      <c r="F2" s="283"/>
      <c r="G2" s="283"/>
      <c r="H2" s="283"/>
      <c r="I2" s="283"/>
      <c r="J2" s="283"/>
      <c r="M2"/>
      <c r="N2"/>
      <c r="O2"/>
      <c r="P2"/>
    </row>
    <row r="3" spans="1:17" ht="90.6" customHeight="1" x14ac:dyDescent="0.25">
      <c r="A3" s="175">
        <v>2</v>
      </c>
      <c r="B3" s="298" t="s">
        <v>323</v>
      </c>
      <c r="C3" s="298"/>
      <c r="D3" s="298"/>
      <c r="E3" s="298"/>
      <c r="F3" s="298"/>
      <c r="G3" s="298"/>
      <c r="H3" s="298"/>
      <c r="I3" s="298"/>
      <c r="J3" s="298"/>
      <c r="K3" s="83"/>
      <c r="L3" s="83"/>
      <c r="M3" s="83"/>
    </row>
    <row r="4" spans="1:17" x14ac:dyDescent="0.25">
      <c r="A4" s="89"/>
      <c r="B4" s="84"/>
      <c r="C4" s="84"/>
      <c r="D4" s="84"/>
      <c r="E4" s="84"/>
      <c r="F4" s="84"/>
      <c r="G4" s="84"/>
      <c r="H4" s="84"/>
      <c r="I4" s="84"/>
      <c r="J4" s="84"/>
      <c r="K4" s="84"/>
      <c r="L4" s="84"/>
      <c r="M4" s="84"/>
    </row>
    <row r="5" spans="1:17" x14ac:dyDescent="0.25">
      <c r="A5" s="112" t="s">
        <v>334</v>
      </c>
      <c r="F5" s="176" t="s">
        <v>341</v>
      </c>
      <c r="G5" s="176" t="s">
        <v>341</v>
      </c>
      <c r="H5" s="177"/>
      <c r="I5" s="176" t="s">
        <v>341</v>
      </c>
      <c r="J5" s="176" t="s">
        <v>341</v>
      </c>
    </row>
    <row r="6" spans="1:17" ht="60" x14ac:dyDescent="0.25">
      <c r="A6" s="24" t="s">
        <v>179</v>
      </c>
      <c r="B6" s="94" t="s">
        <v>324</v>
      </c>
      <c r="C6" s="95" t="s">
        <v>180</v>
      </c>
      <c r="D6" s="94" t="s">
        <v>316</v>
      </c>
      <c r="E6" s="26" t="s">
        <v>183</v>
      </c>
      <c r="F6" s="94" t="s">
        <v>317</v>
      </c>
      <c r="G6" s="94" t="s">
        <v>319</v>
      </c>
      <c r="H6" s="26" t="s">
        <v>181</v>
      </c>
      <c r="I6" s="94" t="s">
        <v>318</v>
      </c>
      <c r="J6" s="94" t="s">
        <v>320</v>
      </c>
      <c r="K6" s="73" t="s">
        <v>182</v>
      </c>
      <c r="L6" s="73" t="s">
        <v>11</v>
      </c>
      <c r="M6" s="77" t="s">
        <v>325</v>
      </c>
      <c r="N6" s="93" t="s">
        <v>321</v>
      </c>
      <c r="O6" s="93" t="s">
        <v>314</v>
      </c>
      <c r="P6" s="93" t="s">
        <v>315</v>
      </c>
    </row>
    <row r="7" spans="1:17" x14ac:dyDescent="0.25">
      <c r="A7" t="s">
        <v>12</v>
      </c>
      <c r="B7" s="76" t="s">
        <v>219</v>
      </c>
      <c r="C7" s="98">
        <v>3.480034800348E-3</v>
      </c>
      <c r="D7" s="91">
        <f t="shared" ref="D7:D38" si="0">ROUND(C7,8)</f>
        <v>3.4800299999999998E-3</v>
      </c>
      <c r="E7" s="25">
        <f>C7*'Totals and MOU%s'!$C$26</f>
        <v>331253.70451484865</v>
      </c>
      <c r="F7" s="30">
        <f>N7*'Totals and MOU%s'!$C$26</f>
        <v>331253.2475846312</v>
      </c>
      <c r="G7" s="75">
        <f>E7-F7</f>
        <v>0.45693021744955331</v>
      </c>
      <c r="H7" s="25">
        <f>C7*'Totals and MOU%s'!$D$26</f>
        <v>76138.223682103911</v>
      </c>
      <c r="I7" s="30">
        <f>N7*'Totals and MOU%s'!$D$26</f>
        <v>76138.118657300773</v>
      </c>
      <c r="J7" s="75">
        <f>H7-I7</f>
        <v>0.10502480313880369</v>
      </c>
      <c r="K7" s="73">
        <f>C7*'Totals and MOU%s'!$E$26</f>
        <v>149377.04033888259</v>
      </c>
      <c r="L7" s="73">
        <f t="shared" ref="L7:L38" si="1">SUM(E7:K7)</f>
        <v>964160.89673278772</v>
      </c>
      <c r="M7" s="100" t="e">
        <f>_xlfn.XLOOKUP(B7,#REF!,#REF!)</f>
        <v>#REF!</v>
      </c>
      <c r="N7" s="100">
        <v>3.4800299999999998E-3</v>
      </c>
      <c r="O7" s="92" t="str">
        <f t="shared" ref="O7:O38" si="2">IF(N7=D7,"Allocation Match","Difference")</f>
        <v>Allocation Match</v>
      </c>
      <c r="P7" s="91">
        <f t="shared" ref="P7:P38" si="3">N7-D7</f>
        <v>0</v>
      </c>
      <c r="Q7" s="25"/>
    </row>
    <row r="8" spans="1:17" x14ac:dyDescent="0.25">
      <c r="A8" t="s">
        <v>13</v>
      </c>
      <c r="B8" s="76" t="s">
        <v>220</v>
      </c>
      <c r="C8" s="99">
        <v>8.6300863008630102E-3</v>
      </c>
      <c r="D8" s="91">
        <f t="shared" si="0"/>
        <v>8.63009E-3</v>
      </c>
      <c r="E8" s="25">
        <f>C8*'Totals and MOU%s'!$C$26</f>
        <v>821471.11205837561</v>
      </c>
      <c r="F8" s="30">
        <f>N8*'Totals and MOU%s'!$C$26</f>
        <v>821471.46416773705</v>
      </c>
      <c r="G8" s="75">
        <f t="shared" ref="G8:G71" si="4">E8-F8</f>
        <v>-0.35210936143994331</v>
      </c>
      <c r="H8" s="25">
        <f>C8*'Totals and MOU%s'!$D$26</f>
        <v>188814.04321165444</v>
      </c>
      <c r="I8" s="30">
        <f>N8*'Totals and MOU%s'!$D$26</f>
        <v>188814.12414352316</v>
      </c>
      <c r="J8" s="75">
        <f t="shared" ref="J8:J71" si="5">H8-I8</f>
        <v>-8.0931868724292144E-2</v>
      </c>
      <c r="K8" s="73">
        <f>C8*'Totals and MOU%s'!$E$26</f>
        <v>370437.89026567765</v>
      </c>
      <c r="L8" s="73">
        <f t="shared" si="1"/>
        <v>2391008.2008057381</v>
      </c>
      <c r="M8" s="100" t="e">
        <f>_xlfn.XLOOKUP(B8,#REF!,#REF!)</f>
        <v>#REF!</v>
      </c>
      <c r="N8" s="100">
        <v>8.63009E-3</v>
      </c>
      <c r="O8" s="92" t="str">
        <f t="shared" si="2"/>
        <v>Allocation Match</v>
      </c>
      <c r="P8" s="91">
        <f t="shared" si="3"/>
        <v>0</v>
      </c>
    </row>
    <row r="9" spans="1:17" x14ac:dyDescent="0.25">
      <c r="A9" t="s">
        <v>14</v>
      </c>
      <c r="B9" s="76" t="s">
        <v>14</v>
      </c>
      <c r="C9" s="99">
        <v>1.1620116201162E-2</v>
      </c>
      <c r="D9" s="91">
        <f t="shared" si="0"/>
        <v>1.1620119999999999E-2</v>
      </c>
      <c r="E9" s="25">
        <f>C9*'Totals and MOU%s'!$C$26</f>
        <v>1106082.7719719945</v>
      </c>
      <c r="F9" s="30">
        <f>N9*'Totals and MOU%s'!$C$26</f>
        <v>1106081.2298337007</v>
      </c>
      <c r="G9" s="75">
        <f t="shared" si="4"/>
        <v>1.542138293851167</v>
      </c>
      <c r="H9" s="25">
        <f>C9*'Totals and MOU%s'!$D$26</f>
        <v>254231.65493851938</v>
      </c>
      <c r="I9" s="30">
        <f>N9*'Totals and MOU%s'!$D$26</f>
        <v>254231.30048008228</v>
      </c>
      <c r="J9" s="75">
        <f t="shared" si="5"/>
        <v>0.3544584370974917</v>
      </c>
      <c r="K9" s="73">
        <f>C9*'Totals and MOU%s'!$E$26</f>
        <v>498781.95653385506</v>
      </c>
      <c r="L9" s="73">
        <f t="shared" si="1"/>
        <v>3219410.8103548829</v>
      </c>
      <c r="M9" s="100" t="e">
        <f>_xlfn.XLOOKUP(B9,#REF!,#REF!)</f>
        <v>#REF!</v>
      </c>
      <c r="N9" s="100">
        <v>1.16201E-2</v>
      </c>
      <c r="O9" s="92" t="str">
        <f t="shared" si="2"/>
        <v>Difference</v>
      </c>
      <c r="P9" s="91">
        <f t="shared" si="3"/>
        <v>-1.9999999999881224E-8</v>
      </c>
    </row>
    <row r="10" spans="1:17" x14ac:dyDescent="0.25">
      <c r="A10" t="s">
        <v>15</v>
      </c>
      <c r="B10" s="76" t="s">
        <v>221</v>
      </c>
      <c r="C10" s="99">
        <v>2.130021300213E-3</v>
      </c>
      <c r="D10" s="91">
        <f t="shared" si="0"/>
        <v>2.1300199999999998E-3</v>
      </c>
      <c r="E10" s="25">
        <f>C10*'Totals and MOU%s'!$C$26</f>
        <v>202750.11224615737</v>
      </c>
      <c r="F10" s="30">
        <f>N10*'Totals and MOU%s'!$C$26</f>
        <v>202749.98848292002</v>
      </c>
      <c r="G10" s="75">
        <f t="shared" si="4"/>
        <v>0.12376323735225014</v>
      </c>
      <c r="H10" s="25">
        <f>C10*'Totals and MOU%s'!$D$26</f>
        <v>46601.843805425669</v>
      </c>
      <c r="I10" s="30">
        <f>N10*'Totals and MOU%s'!$D$26</f>
        <v>46601.815358610067</v>
      </c>
      <c r="J10" s="75">
        <f t="shared" si="5"/>
        <v>2.844681560236495E-2</v>
      </c>
      <c r="K10" s="73">
        <f>C10*'Totals and MOU%s'!$E$26</f>
        <v>91429.050552247107</v>
      </c>
      <c r="L10" s="73">
        <f t="shared" si="1"/>
        <v>590132.9626554132</v>
      </c>
      <c r="M10" s="100" t="e">
        <f>_xlfn.XLOOKUP(B10,#REF!,#REF!)</f>
        <v>#REF!</v>
      </c>
      <c r="N10" s="100">
        <v>2.1300199999999998E-3</v>
      </c>
      <c r="O10" s="92" t="str">
        <f t="shared" si="2"/>
        <v>Allocation Match</v>
      </c>
      <c r="P10" s="91">
        <f t="shared" si="3"/>
        <v>0</v>
      </c>
    </row>
    <row r="11" spans="1:17" x14ac:dyDescent="0.25">
      <c r="A11" t="s">
        <v>16</v>
      </c>
      <c r="B11" s="76" t="s">
        <v>222</v>
      </c>
      <c r="C11" s="99">
        <v>1.0000100001E-3</v>
      </c>
      <c r="D11" s="91">
        <f t="shared" si="0"/>
        <v>1.00001E-3</v>
      </c>
      <c r="E11" s="25">
        <f>C11*'Totals and MOU%s'!$C$26</f>
        <v>95187.846124956515</v>
      </c>
      <c r="F11" s="30">
        <f>N11*'Totals and MOU%s'!$C$26</f>
        <v>95187.846115437816</v>
      </c>
      <c r="G11" s="75">
        <f t="shared" si="4"/>
        <v>9.5186987891793251E-6</v>
      </c>
      <c r="H11" s="25">
        <f>C11*'Totals and MOU%s'!$D$26</f>
        <v>21878.799908650548</v>
      </c>
      <c r="I11" s="30">
        <f>N11*'Totals and MOU%s'!$D$26</f>
        <v>21878.799906462689</v>
      </c>
      <c r="J11" s="75">
        <f t="shared" si="5"/>
        <v>2.1878586267121136E-6</v>
      </c>
      <c r="K11" s="73">
        <f>C11*'Totals and MOU%s'!$E$26</f>
        <v>42924.436878989254</v>
      </c>
      <c r="L11" s="73">
        <f t="shared" si="1"/>
        <v>277057.72894620337</v>
      </c>
      <c r="M11" s="100" t="e">
        <f>_xlfn.XLOOKUP(B11,#REF!,#REF!)</f>
        <v>#REF!</v>
      </c>
      <c r="N11" s="100">
        <v>1.00001E-3</v>
      </c>
      <c r="O11" s="92" t="str">
        <f t="shared" si="2"/>
        <v>Allocation Match</v>
      </c>
      <c r="P11" s="91">
        <f t="shared" si="3"/>
        <v>0</v>
      </c>
    </row>
    <row r="12" spans="1:17" x14ac:dyDescent="0.25">
      <c r="A12" t="s">
        <v>17</v>
      </c>
      <c r="B12" s="76" t="s">
        <v>223</v>
      </c>
      <c r="C12" s="99">
        <v>2.9900299002989998E-3</v>
      </c>
      <c r="D12" s="91">
        <f t="shared" si="0"/>
        <v>2.9900299999999999E-3</v>
      </c>
      <c r="E12" s="25">
        <f>C12*'Totals and MOU%s'!$C$26</f>
        <v>284611.65991361992</v>
      </c>
      <c r="F12" s="30">
        <f>N12*'Totals and MOU%s'!$C$26</f>
        <v>284611.66940384847</v>
      </c>
      <c r="G12" s="75">
        <f t="shared" si="4"/>
        <v>-9.4902285491116345E-3</v>
      </c>
      <c r="H12" s="25">
        <f>C12*'Totals and MOU%s'!$D$26</f>
        <v>65417.611726865136</v>
      </c>
      <c r="I12" s="30">
        <f>N12*'Totals and MOU%s'!$D$26</f>
        <v>65417.613908181549</v>
      </c>
      <c r="J12" s="75">
        <f t="shared" si="5"/>
        <v>-2.1813164130435325E-3</v>
      </c>
      <c r="K12" s="73">
        <f>C12*'Totals and MOU%s'!$E$26</f>
        <v>128344.06626817785</v>
      </c>
      <c r="L12" s="73">
        <f t="shared" si="1"/>
        <v>828402.60954914812</v>
      </c>
      <c r="M12" s="100" t="e">
        <f>_xlfn.XLOOKUP(B12,#REF!,#REF!)</f>
        <v>#REF!</v>
      </c>
      <c r="N12" s="100">
        <v>2.9900299999999999E-3</v>
      </c>
      <c r="O12" s="92" t="str">
        <f t="shared" si="2"/>
        <v>Allocation Match</v>
      </c>
      <c r="P12" s="91">
        <f t="shared" si="3"/>
        <v>0</v>
      </c>
    </row>
    <row r="13" spans="1:17" x14ac:dyDescent="0.25">
      <c r="A13" t="s">
        <v>18</v>
      </c>
      <c r="B13" s="76" t="s">
        <v>224</v>
      </c>
      <c r="C13" s="99">
        <v>1.3300133001329999E-3</v>
      </c>
      <c r="D13" s="91">
        <f t="shared" si="0"/>
        <v>1.33001E-3</v>
      </c>
      <c r="E13" s="25">
        <f>C13*'Totals and MOU%s'!$C$26</f>
        <v>126599.83534619215</v>
      </c>
      <c r="F13" s="30">
        <f>N13*'Totals and MOU%s'!$C$26</f>
        <v>126599.52121678127</v>
      </c>
      <c r="G13" s="75">
        <f t="shared" si="4"/>
        <v>0.3141294108791044</v>
      </c>
      <c r="H13" s="25">
        <f>C13*'Totals and MOU%s'!$D$26</f>
        <v>29098.803878505227</v>
      </c>
      <c r="I13" s="30">
        <f>N13*'Totals and MOU%s'!$D$26</f>
        <v>29098.731676277679</v>
      </c>
      <c r="J13" s="75">
        <f t="shared" si="5"/>
        <v>7.2202227547677467E-2</v>
      </c>
      <c r="K13" s="73">
        <f>C13*'Totals and MOU%s'!$E$26</f>
        <v>57089.501049055703</v>
      </c>
      <c r="L13" s="73">
        <f t="shared" si="1"/>
        <v>368486.77949845052</v>
      </c>
      <c r="M13" s="100" t="e">
        <f>_xlfn.XLOOKUP(B13,#REF!,#REF!)</f>
        <v>#REF!</v>
      </c>
      <c r="N13" s="100">
        <v>1.33001E-3</v>
      </c>
      <c r="O13" s="92" t="str">
        <f t="shared" si="2"/>
        <v>Allocation Match</v>
      </c>
      <c r="P13" s="91">
        <f t="shared" si="3"/>
        <v>0</v>
      </c>
    </row>
    <row r="14" spans="1:17" x14ac:dyDescent="0.25">
      <c r="A14" t="s">
        <v>19</v>
      </c>
      <c r="B14" s="76" t="s">
        <v>225</v>
      </c>
      <c r="C14" s="99">
        <v>1.3780137801378E-2</v>
      </c>
      <c r="D14" s="91">
        <f t="shared" si="0"/>
        <v>1.378014E-2</v>
      </c>
      <c r="E14" s="25">
        <f>C14*'Totals and MOU%s'!$C$26</f>
        <v>1311688.5196019006</v>
      </c>
      <c r="F14" s="30">
        <f>N14*'Totals and MOU%s'!$C$26</f>
        <v>1311684.9214061305</v>
      </c>
      <c r="G14" s="75">
        <f t="shared" si="4"/>
        <v>3.5981957700569183</v>
      </c>
      <c r="H14" s="25">
        <f>C14*'Totals and MOU%s'!$D$26</f>
        <v>301489.86274120456</v>
      </c>
      <c r="I14" s="30">
        <f>N14*'Totals and MOU%s'!$D$26</f>
        <v>301489.03570068954</v>
      </c>
      <c r="J14" s="75">
        <f t="shared" si="5"/>
        <v>0.82704051502514631</v>
      </c>
      <c r="K14" s="73">
        <f>C14*'Totals and MOU%s'!$E$26</f>
        <v>591498.74019247189</v>
      </c>
      <c r="L14" s="73">
        <f t="shared" si="1"/>
        <v>3817855.5048786821</v>
      </c>
      <c r="M14" s="100" t="e">
        <f>_xlfn.XLOOKUP(B14,#REF!,#REF!)</f>
        <v>#REF!</v>
      </c>
      <c r="N14" s="100">
        <v>1.37801E-2</v>
      </c>
      <c r="O14" s="92" t="str">
        <f t="shared" si="2"/>
        <v>Difference</v>
      </c>
      <c r="P14" s="91">
        <f t="shared" si="3"/>
        <v>-3.9999999999762448E-8</v>
      </c>
    </row>
    <row r="15" spans="1:17" x14ac:dyDescent="0.25">
      <c r="A15" t="s">
        <v>20</v>
      </c>
      <c r="B15" s="76" t="s">
        <v>226</v>
      </c>
      <c r="C15" s="99">
        <v>8.3500835008350101E-3</v>
      </c>
      <c r="D15" s="91">
        <f t="shared" si="0"/>
        <v>8.3500799999999993E-3</v>
      </c>
      <c r="E15" s="25">
        <f>C15*'Totals and MOU%s'!$C$26</f>
        <v>794818.51514338783</v>
      </c>
      <c r="F15" s="30">
        <f>N15*'Totals and MOU%s'!$C$26</f>
        <v>794818.18190977583</v>
      </c>
      <c r="G15" s="75">
        <f t="shared" si="4"/>
        <v>0.33323361200746149</v>
      </c>
      <c r="H15" s="25">
        <f>C15*'Totals and MOU%s'!$D$26</f>
        <v>182687.9792372323</v>
      </c>
      <c r="I15" s="30">
        <f>N15*'Totals and MOU%s'!$D$26</f>
        <v>182687.90264392953</v>
      </c>
      <c r="J15" s="75">
        <f t="shared" si="5"/>
        <v>7.6593302772380412E-2</v>
      </c>
      <c r="K15" s="73">
        <f>C15*'Totals and MOU%s'!$E$26</f>
        <v>358419.04793956067</v>
      </c>
      <c r="L15" s="73">
        <f t="shared" si="1"/>
        <v>2313432.0367008015</v>
      </c>
      <c r="M15" s="100" t="e">
        <f>_xlfn.XLOOKUP(B15,#REF!,#REF!)</f>
        <v>#REF!</v>
      </c>
      <c r="N15" s="100">
        <v>8.3500799999999993E-3</v>
      </c>
      <c r="O15" s="92" t="str">
        <f t="shared" si="2"/>
        <v>Allocation Match</v>
      </c>
      <c r="P15" s="91">
        <f t="shared" si="3"/>
        <v>0</v>
      </c>
    </row>
    <row r="16" spans="1:17" x14ac:dyDescent="0.25">
      <c r="A16" t="s">
        <v>21</v>
      </c>
      <c r="B16" s="76" t="s">
        <v>227</v>
      </c>
      <c r="C16" s="99">
        <v>3.7000370003699998E-4</v>
      </c>
      <c r="D16" s="91">
        <f t="shared" si="0"/>
        <v>3.6999999999999999E-4</v>
      </c>
      <c r="E16" s="25">
        <f>C16*'Totals and MOU%s'!$C$26</f>
        <v>35219.503066233905</v>
      </c>
      <c r="F16" s="30">
        <f>N16*'Totals and MOU%s'!$C$26</f>
        <v>35219.531618780267</v>
      </c>
      <c r="G16" s="75">
        <f t="shared" si="4"/>
        <v>-2.8552546362334397E-2</v>
      </c>
      <c r="H16" s="25">
        <f>C16*'Totals and MOU%s'!$D$26</f>
        <v>8095.1559662007021</v>
      </c>
      <c r="I16" s="30">
        <f>N16*'Totals and MOU%s'!$D$26</f>
        <v>8095.1625289655312</v>
      </c>
      <c r="J16" s="75">
        <f t="shared" si="5"/>
        <v>-6.5627648291410878E-3</v>
      </c>
      <c r="K16" s="73">
        <f>C16*'Totals and MOU%s'!$E$26</f>
        <v>15882.041645226022</v>
      </c>
      <c r="L16" s="73">
        <f t="shared" si="1"/>
        <v>102511.35971009523</v>
      </c>
      <c r="M16" s="100" t="e">
        <f>_xlfn.XLOOKUP(B16,#REF!,#REF!)</f>
        <v>#REF!</v>
      </c>
      <c r="N16" s="100">
        <v>3.70004E-4</v>
      </c>
      <c r="O16" s="92" t="str">
        <f t="shared" si="2"/>
        <v>Difference</v>
      </c>
      <c r="P16" s="91">
        <f t="shared" si="3"/>
        <v>4.0000000000087708E-9</v>
      </c>
    </row>
    <row r="17" spans="1:16" x14ac:dyDescent="0.25">
      <c r="A17" t="s">
        <v>22</v>
      </c>
      <c r="B17" s="76" t="s">
        <v>228</v>
      </c>
      <c r="C17" s="99">
        <v>7.7700777007770096E-3</v>
      </c>
      <c r="D17" s="91">
        <f t="shared" si="0"/>
        <v>7.7700800000000004E-3</v>
      </c>
      <c r="E17" s="25">
        <f>C17*'Totals and MOU%s'!$C$26</f>
        <v>739609.564390913</v>
      </c>
      <c r="F17" s="30">
        <f>N17*'Totals and MOU%s'!$C$26</f>
        <v>739609.78324680869</v>
      </c>
      <c r="G17" s="75">
        <f t="shared" si="4"/>
        <v>-0.21885589568410069</v>
      </c>
      <c r="H17" s="25">
        <f>C17*'Totals and MOU%s'!$D$26</f>
        <v>169998.27529021498</v>
      </c>
      <c r="I17" s="30">
        <f>N17*'Totals and MOU%s'!$D$26</f>
        <v>169998.32559395168</v>
      </c>
      <c r="J17" s="75">
        <f t="shared" si="5"/>
        <v>-5.0303736701607704E-2</v>
      </c>
      <c r="K17" s="73">
        <f>C17*'Totals and MOU%s'!$E$26</f>
        <v>333522.87454974686</v>
      </c>
      <c r="L17" s="73">
        <f t="shared" si="1"/>
        <v>2152738.5539120031</v>
      </c>
      <c r="M17" s="100" t="e">
        <f>_xlfn.XLOOKUP(B17,#REF!,#REF!)</f>
        <v>#REF!</v>
      </c>
      <c r="N17" s="100">
        <v>7.7700800000000004E-3</v>
      </c>
      <c r="O17" s="92" t="str">
        <f t="shared" si="2"/>
        <v>Allocation Match</v>
      </c>
      <c r="P17" s="91">
        <f t="shared" si="3"/>
        <v>0</v>
      </c>
    </row>
    <row r="18" spans="1:16" x14ac:dyDescent="0.25">
      <c r="A18" t="s">
        <v>23</v>
      </c>
      <c r="B18" s="76" t="s">
        <v>229</v>
      </c>
      <c r="C18" s="99">
        <v>1.470014700147E-3</v>
      </c>
      <c r="D18" s="91">
        <f t="shared" si="0"/>
        <v>1.4700099999999999E-3</v>
      </c>
      <c r="E18" s="25">
        <f>C18*'Totals and MOU%s'!$C$26</f>
        <v>139926.13380368607</v>
      </c>
      <c r="F18" s="30">
        <f>N18*'Totals and MOU%s'!$C$26</f>
        <v>139925.68641129063</v>
      </c>
      <c r="G18" s="75">
        <f t="shared" si="4"/>
        <v>0.44739239543559961</v>
      </c>
      <c r="H18" s="25">
        <f>C18*'Totals and MOU%s'!$D$26</f>
        <v>32161.835865716304</v>
      </c>
      <c r="I18" s="30">
        <f>N18*'Totals and MOU%s'!$D$26</f>
        <v>32161.733033168886</v>
      </c>
      <c r="J18" s="75">
        <f t="shared" si="5"/>
        <v>0.10283254741807468</v>
      </c>
      <c r="K18" s="73">
        <f>C18*'Totals and MOU%s'!$E$26</f>
        <v>63098.922212114194</v>
      </c>
      <c r="L18" s="73">
        <f t="shared" si="1"/>
        <v>407274.86155091901</v>
      </c>
      <c r="M18" s="100" t="e">
        <f>_xlfn.XLOOKUP(B18,#REF!,#REF!)</f>
        <v>#REF!</v>
      </c>
      <c r="N18" s="100">
        <v>1.4700099999999999E-3</v>
      </c>
      <c r="O18" s="92" t="str">
        <f t="shared" si="2"/>
        <v>Allocation Match</v>
      </c>
      <c r="P18" s="91">
        <f t="shared" si="3"/>
        <v>0</v>
      </c>
    </row>
    <row r="19" spans="1:16" x14ac:dyDescent="0.25">
      <c r="A19" t="s">
        <v>24</v>
      </c>
      <c r="B19" s="76" t="s">
        <v>230</v>
      </c>
      <c r="C19" s="99">
        <v>3.6200362003620001E-3</v>
      </c>
      <c r="D19" s="91">
        <f t="shared" si="0"/>
        <v>3.6200400000000002E-3</v>
      </c>
      <c r="E19" s="25">
        <f>C19*'Totals and MOU%s'!$C$26</f>
        <v>344580.00297234254</v>
      </c>
      <c r="F19" s="30">
        <f>N19*'Totals and MOU%s'!$C$26</f>
        <v>344580.36464808305</v>
      </c>
      <c r="G19" s="75">
        <f t="shared" si="4"/>
        <v>-0.36167574051069096</v>
      </c>
      <c r="H19" s="25">
        <f>C19*'Totals and MOU%s'!$D$26</f>
        <v>79201.255669314982</v>
      </c>
      <c r="I19" s="30">
        <f>N19*'Totals and MOU%s'!$D$26</f>
        <v>79201.338800003199</v>
      </c>
      <c r="J19" s="75">
        <f t="shared" si="5"/>
        <v>-8.3130688217352144E-2</v>
      </c>
      <c r="K19" s="73">
        <f>C19*'Totals and MOU%s'!$E$26</f>
        <v>155386.46150194108</v>
      </c>
      <c r="L19" s="73">
        <f t="shared" si="1"/>
        <v>1002948.9787852562</v>
      </c>
      <c r="M19" s="100" t="e">
        <f>_xlfn.XLOOKUP(B19,#REF!,#REF!)</f>
        <v>#REF!</v>
      </c>
      <c r="N19" s="100">
        <v>3.6200400000000002E-3</v>
      </c>
      <c r="O19" s="92" t="str">
        <f t="shared" si="2"/>
        <v>Allocation Match</v>
      </c>
      <c r="P19" s="91">
        <f t="shared" si="3"/>
        <v>0</v>
      </c>
    </row>
    <row r="20" spans="1:16" x14ac:dyDescent="0.25">
      <c r="A20" t="s">
        <v>25</v>
      </c>
      <c r="B20" s="76" t="s">
        <v>25</v>
      </c>
      <c r="C20" s="99">
        <v>4.3400434004340002E-3</v>
      </c>
      <c r="D20" s="91">
        <f t="shared" si="0"/>
        <v>4.3400399999999999E-3</v>
      </c>
      <c r="E20" s="25">
        <f>C20*'Totals and MOU%s'!$C$26</f>
        <v>413115.25218231126</v>
      </c>
      <c r="F20" s="30">
        <f>N20*'Totals and MOU%s'!$C$26</f>
        <v>413114.92850555968</v>
      </c>
      <c r="G20" s="75">
        <f t="shared" si="4"/>
        <v>0.32367675157729536</v>
      </c>
      <c r="H20" s="25">
        <f>C20*'Totals and MOU%s'!$D$26</f>
        <v>94953.991603543385</v>
      </c>
      <c r="I20" s="30">
        <f>N20*'Totals and MOU%s'!$D$26</f>
        <v>94953.917206872255</v>
      </c>
      <c r="J20" s="75">
        <f t="shared" si="5"/>
        <v>7.4396671130671166E-2</v>
      </c>
      <c r="K20" s="73">
        <f>C20*'Totals and MOU%s'!$E$26</f>
        <v>186292.05605481335</v>
      </c>
      <c r="L20" s="73">
        <f t="shared" si="1"/>
        <v>1202430.5436265226</v>
      </c>
      <c r="M20" s="100" t="e">
        <f>_xlfn.XLOOKUP(B20,#REF!,#REF!)</f>
        <v>#REF!</v>
      </c>
      <c r="N20" s="100">
        <v>4.3400399999999999E-3</v>
      </c>
      <c r="O20" s="92" t="str">
        <f t="shared" si="2"/>
        <v>Allocation Match</v>
      </c>
      <c r="P20" s="91">
        <f t="shared" si="3"/>
        <v>0</v>
      </c>
    </row>
    <row r="21" spans="1:16" x14ac:dyDescent="0.25">
      <c r="A21" t="s">
        <v>26</v>
      </c>
      <c r="B21" s="76" t="s">
        <v>231</v>
      </c>
      <c r="C21" s="99">
        <v>1.0700107001070001E-3</v>
      </c>
      <c r="D21" s="91">
        <f t="shared" si="0"/>
        <v>1.0700099999999999E-3</v>
      </c>
      <c r="E21" s="25">
        <f>C21*'Totals and MOU%s'!$C$26</f>
        <v>101850.99535370347</v>
      </c>
      <c r="F21" s="30">
        <f>N21*'Totals and MOU%s'!$C$26</f>
        <v>101850.92871269249</v>
      </c>
      <c r="G21" s="75">
        <f t="shared" si="4"/>
        <v>6.6641010984312743E-2</v>
      </c>
      <c r="H21" s="25">
        <f>C21*'Totals and MOU%s'!$D$26</f>
        <v>23410.315902256087</v>
      </c>
      <c r="I21" s="30">
        <f>N21*'Totals and MOU%s'!$D$26</f>
        <v>23410.300584908291</v>
      </c>
      <c r="J21" s="75">
        <f t="shared" si="5"/>
        <v>1.5317347795644309E-2</v>
      </c>
      <c r="K21" s="73">
        <f>C21*'Totals and MOU%s'!$E$26</f>
        <v>45929.147460518499</v>
      </c>
      <c r="L21" s="73">
        <f t="shared" si="1"/>
        <v>296451.76997243764</v>
      </c>
      <c r="M21" s="100" t="e">
        <f>_xlfn.XLOOKUP(B21,#REF!,#REF!)</f>
        <v>#REF!</v>
      </c>
      <c r="N21" s="100">
        <v>1.0700099999999999E-3</v>
      </c>
      <c r="O21" s="92" t="str">
        <f t="shared" si="2"/>
        <v>Allocation Match</v>
      </c>
      <c r="P21" s="91">
        <f t="shared" si="3"/>
        <v>0</v>
      </c>
    </row>
    <row r="22" spans="1:16" x14ac:dyDescent="0.25">
      <c r="A22" t="s">
        <v>27</v>
      </c>
      <c r="B22" s="76" t="s">
        <v>232</v>
      </c>
      <c r="C22" s="99">
        <v>9.29009290092901E-3</v>
      </c>
      <c r="D22" s="91">
        <f t="shared" si="0"/>
        <v>9.2900900000000008E-3</v>
      </c>
      <c r="E22" s="25">
        <f>C22*'Totals and MOU%s'!$C$26</f>
        <v>884295.09050084685</v>
      </c>
      <c r="F22" s="30">
        <f>N22*'Totals and MOU%s'!$C$26</f>
        <v>884294.81437042402</v>
      </c>
      <c r="G22" s="75">
        <f t="shared" si="4"/>
        <v>0.27613042283337563</v>
      </c>
      <c r="H22" s="25">
        <f>C22*'Totals and MOU%s'!$D$26</f>
        <v>203254.05115136382</v>
      </c>
      <c r="I22" s="30">
        <f>N22*'Totals and MOU%s'!$D$26</f>
        <v>203253.98768315316</v>
      </c>
      <c r="J22" s="75">
        <f t="shared" si="5"/>
        <v>6.3468210661085322E-2</v>
      </c>
      <c r="K22" s="73">
        <f>C22*'Totals and MOU%s'!$E$26</f>
        <v>398768.01860581053</v>
      </c>
      <c r="L22" s="73">
        <f t="shared" si="1"/>
        <v>2573866.3019102323</v>
      </c>
      <c r="M22" s="100" t="e">
        <f>_xlfn.XLOOKUP(B22,#REF!,#REF!)</f>
        <v>#REF!</v>
      </c>
      <c r="N22" s="100">
        <v>9.2900900000000008E-3</v>
      </c>
      <c r="O22" s="92" t="str">
        <f t="shared" si="2"/>
        <v>Allocation Match</v>
      </c>
      <c r="P22" s="91">
        <f t="shared" si="3"/>
        <v>0</v>
      </c>
    </row>
    <row r="23" spans="1:16" x14ac:dyDescent="0.25">
      <c r="A23" t="s">
        <v>28</v>
      </c>
      <c r="B23" s="76" t="s">
        <v>233</v>
      </c>
      <c r="C23" s="99">
        <v>1.270012700127E-3</v>
      </c>
      <c r="D23" s="91">
        <f t="shared" si="0"/>
        <v>1.27001E-3</v>
      </c>
      <c r="E23" s="25">
        <f>C23*'Totals and MOU%s'!$C$26</f>
        <v>120888.56457869477</v>
      </c>
      <c r="F23" s="30">
        <f>N23*'Totals and MOU%s'!$C$26</f>
        <v>120888.30756199156</v>
      </c>
      <c r="G23" s="75">
        <f t="shared" si="4"/>
        <v>0.25701670320995618</v>
      </c>
      <c r="H23" s="25">
        <f>C23*'Totals and MOU%s'!$D$26</f>
        <v>27786.075883986196</v>
      </c>
      <c r="I23" s="30">
        <f>N23*'Totals and MOU%s'!$D$26</f>
        <v>27786.016809038592</v>
      </c>
      <c r="J23" s="75">
        <f t="shared" si="5"/>
        <v>5.9074947603221517E-2</v>
      </c>
      <c r="K23" s="73">
        <f>C23*'Totals and MOU%s'!$E$26</f>
        <v>54514.03483631635</v>
      </c>
      <c r="L23" s="73">
        <f t="shared" si="1"/>
        <v>351863.31576167827</v>
      </c>
      <c r="M23" s="100" t="e">
        <f>_xlfn.XLOOKUP(B23,#REF!,#REF!)</f>
        <v>#REF!</v>
      </c>
      <c r="N23" s="100">
        <v>1.27001E-3</v>
      </c>
      <c r="O23" s="92" t="str">
        <f t="shared" si="2"/>
        <v>Allocation Match</v>
      </c>
      <c r="P23" s="91">
        <f t="shared" si="3"/>
        <v>0</v>
      </c>
    </row>
    <row r="24" spans="1:16" x14ac:dyDescent="0.25">
      <c r="A24" t="s">
        <v>29</v>
      </c>
      <c r="B24" s="76" t="s">
        <v>29</v>
      </c>
      <c r="C24" s="99">
        <v>7.8000780007800004E-4</v>
      </c>
      <c r="D24" s="91">
        <f t="shared" si="0"/>
        <v>7.8001000000000003E-4</v>
      </c>
      <c r="E24" s="25">
        <f>C24*'Totals and MOU%s'!$C$26</f>
        <v>74246.519977466072</v>
      </c>
      <c r="F24" s="30">
        <f>N24*'Totals and MOU%s'!$C$26</f>
        <v>74246.539007420346</v>
      </c>
      <c r="G24" s="75">
        <f t="shared" si="4"/>
        <v>-1.9029954273719341E-2</v>
      </c>
      <c r="H24" s="25">
        <f>C24*'Totals and MOU%s'!$D$26</f>
        <v>17065.463928747427</v>
      </c>
      <c r="I24" s="30">
        <f>N24*'Totals and MOU%s'!$D$26</f>
        <v>17065.468302757123</v>
      </c>
      <c r="J24" s="75">
        <f t="shared" si="5"/>
        <v>-4.3740096953115426E-3</v>
      </c>
      <c r="K24" s="73">
        <f>C24*'Totals and MOU%s'!$E$26</f>
        <v>33481.060765611619</v>
      </c>
      <c r="L24" s="73">
        <f t="shared" si="1"/>
        <v>216105.02857803862</v>
      </c>
      <c r="M24" s="100" t="e">
        <f>_xlfn.XLOOKUP(B24,#REF!,#REF!)</f>
        <v>#REF!</v>
      </c>
      <c r="N24" s="100">
        <v>7.80008E-4</v>
      </c>
      <c r="O24" s="92" t="str">
        <f t="shared" si="2"/>
        <v>Difference</v>
      </c>
      <c r="P24" s="91">
        <f t="shared" si="3"/>
        <v>-2.0000000000314905E-9</v>
      </c>
    </row>
    <row r="25" spans="1:16" x14ac:dyDescent="0.25">
      <c r="A25" t="s">
        <v>30</v>
      </c>
      <c r="B25" s="76" t="s">
        <v>234</v>
      </c>
      <c r="C25" s="99">
        <v>4.5600456004559996E-3</v>
      </c>
      <c r="D25" s="91">
        <f t="shared" si="0"/>
        <v>4.5600500000000004E-3</v>
      </c>
      <c r="E25" s="25">
        <f>C25*'Totals and MOU%s'!$C$26</f>
        <v>434056.57832980162</v>
      </c>
      <c r="F25" s="30">
        <f>N25*'Totals and MOU%s'!$C$26</f>
        <v>434056.99710873119</v>
      </c>
      <c r="G25" s="75">
        <f t="shared" si="4"/>
        <v>-0.41877892956836149</v>
      </c>
      <c r="H25" s="25">
        <f>C25*'Totals and MOU%s'!$D$26</f>
        <v>99767.327583446488</v>
      </c>
      <c r="I25" s="30">
        <f>N25*'Totals and MOU%s'!$D$26</f>
        <v>99767.423839226802</v>
      </c>
      <c r="J25" s="75">
        <f t="shared" si="5"/>
        <v>-9.6255780314095318E-2</v>
      </c>
      <c r="K25" s="73">
        <f>C25*'Totals and MOU%s'!$E$26</f>
        <v>195735.43216819095</v>
      </c>
      <c r="L25" s="73">
        <f t="shared" si="1"/>
        <v>1263383.2439946868</v>
      </c>
      <c r="M25" s="100" t="e">
        <f>_xlfn.XLOOKUP(B25,#REF!,#REF!)</f>
        <v>#REF!</v>
      </c>
      <c r="N25" s="100">
        <v>4.5600500000000004E-3</v>
      </c>
      <c r="O25" s="92" t="str">
        <f t="shared" si="2"/>
        <v>Allocation Match</v>
      </c>
      <c r="P25" s="91">
        <f t="shared" si="3"/>
        <v>0</v>
      </c>
    </row>
    <row r="26" spans="1:16" x14ac:dyDescent="0.25">
      <c r="A26" t="s">
        <v>31</v>
      </c>
      <c r="B26" s="76" t="s">
        <v>235</v>
      </c>
      <c r="C26" s="99">
        <v>3.1800318003180001E-3</v>
      </c>
      <c r="D26" s="91">
        <f t="shared" si="0"/>
        <v>3.1800299999999999E-3</v>
      </c>
      <c r="E26" s="25">
        <f>C26*'Totals and MOU%s'!$C$26</f>
        <v>302697.35067736171</v>
      </c>
      <c r="F26" s="30">
        <f>N26*'Totals and MOU%s'!$C$26</f>
        <v>302697.17931068258</v>
      </c>
      <c r="G26" s="75">
        <f t="shared" si="4"/>
        <v>0.17136667913291603</v>
      </c>
      <c r="H26" s="25">
        <f>C26*'Totals and MOU%s'!$D$26</f>
        <v>69574.583709508748</v>
      </c>
      <c r="I26" s="30">
        <f>N26*'Totals and MOU%s'!$D$26</f>
        <v>69574.544321105335</v>
      </c>
      <c r="J26" s="75">
        <f t="shared" si="5"/>
        <v>3.9388403412885964E-2</v>
      </c>
      <c r="K26" s="73">
        <f>C26*'Totals and MOU%s'!$E$26</f>
        <v>136499.70927518583</v>
      </c>
      <c r="L26" s="73">
        <f t="shared" si="1"/>
        <v>881043.57804892678</v>
      </c>
      <c r="M26" s="100" t="e">
        <f>_xlfn.XLOOKUP(B26,#REF!,#REF!)</f>
        <v>#REF!</v>
      </c>
      <c r="N26" s="100">
        <v>3.1800299999999999E-3</v>
      </c>
      <c r="O26" s="92" t="str">
        <f t="shared" si="2"/>
        <v>Allocation Match</v>
      </c>
      <c r="P26" s="91">
        <f t="shared" si="3"/>
        <v>0</v>
      </c>
    </row>
    <row r="27" spans="1:16" x14ac:dyDescent="0.25">
      <c r="A27" t="s">
        <v>32</v>
      </c>
      <c r="B27" s="76" t="s">
        <v>236</v>
      </c>
      <c r="C27" s="99">
        <v>4.4000440004400001E-3</v>
      </c>
      <c r="D27" s="91">
        <f t="shared" si="0"/>
        <v>4.40004E-3</v>
      </c>
      <c r="E27" s="25">
        <f>C27*'Totals and MOU%s'!$C$26</f>
        <v>418826.52294980863</v>
      </c>
      <c r="F27" s="30">
        <f>N27*'Totals and MOU%s'!$C$26</f>
        <v>418826.14216034941</v>
      </c>
      <c r="G27" s="75">
        <f t="shared" si="4"/>
        <v>0.38078945921733975</v>
      </c>
      <c r="H27" s="25">
        <f>C27*'Totals and MOU%s'!$D$26</f>
        <v>96266.719598062409</v>
      </c>
      <c r="I27" s="30">
        <f>N27*'Totals and MOU%s'!$D$26</f>
        <v>96266.63207411136</v>
      </c>
      <c r="J27" s="75">
        <f t="shared" si="5"/>
        <v>8.7523951049661264E-2</v>
      </c>
      <c r="K27" s="73">
        <f>C27*'Totals and MOU%s'!$E$26</f>
        <v>188867.5222675527</v>
      </c>
      <c r="L27" s="73">
        <f t="shared" si="1"/>
        <v>1219054.0073632949</v>
      </c>
      <c r="M27" s="100" t="e">
        <f>_xlfn.XLOOKUP(B27,#REF!,#REF!)</f>
        <v>#REF!</v>
      </c>
      <c r="N27" s="100">
        <v>4.40004E-3</v>
      </c>
      <c r="O27" s="92" t="str">
        <f t="shared" si="2"/>
        <v>Allocation Match</v>
      </c>
      <c r="P27" s="91">
        <f t="shared" si="3"/>
        <v>0</v>
      </c>
    </row>
    <row r="28" spans="1:16" x14ac:dyDescent="0.25">
      <c r="A28" t="s">
        <v>33</v>
      </c>
      <c r="B28" s="76" t="s">
        <v>237</v>
      </c>
      <c r="C28" s="99">
        <v>7.3000730007300005E-4</v>
      </c>
      <c r="D28" s="91">
        <f t="shared" si="0"/>
        <v>7.3001000000000001E-4</v>
      </c>
      <c r="E28" s="25">
        <f>C28*'Totals and MOU%s'!$C$26</f>
        <v>69487.127671218259</v>
      </c>
      <c r="F28" s="30">
        <f>N28*'Totals and MOU%s'!$C$26</f>
        <v>69487.099108201335</v>
      </c>
      <c r="G28" s="75">
        <f t="shared" si="4"/>
        <v>2.8563016923726536E-2</v>
      </c>
      <c r="H28" s="25">
        <f>C28*'Totals and MOU%s'!$D$26</f>
        <v>15971.523933314902</v>
      </c>
      <c r="I28" s="30">
        <f>N28*'Totals and MOU%s'!$D$26</f>
        <v>15971.517368143426</v>
      </c>
      <c r="J28" s="75">
        <f t="shared" si="5"/>
        <v>6.5651714758132584E-3</v>
      </c>
      <c r="K28" s="73">
        <f>C28*'Totals and MOU%s'!$E$26</f>
        <v>31334.838921662154</v>
      </c>
      <c r="L28" s="73">
        <f t="shared" si="1"/>
        <v>202252.14213072843</v>
      </c>
      <c r="M28" s="100" t="e">
        <f>_xlfn.XLOOKUP(B28,#REF!,#REF!)</f>
        <v>#REF!</v>
      </c>
      <c r="N28" s="100">
        <v>7.3000699999999996E-4</v>
      </c>
      <c r="O28" s="92" t="str">
        <f t="shared" si="2"/>
        <v>Difference</v>
      </c>
      <c r="P28" s="91">
        <f t="shared" si="3"/>
        <v>-3.0000000000472357E-9</v>
      </c>
    </row>
    <row r="29" spans="1:16" x14ac:dyDescent="0.25">
      <c r="A29" t="s">
        <v>34</v>
      </c>
      <c r="B29" s="76" t="s">
        <v>238</v>
      </c>
      <c r="C29" s="99">
        <v>1.3800138001379999E-3</v>
      </c>
      <c r="D29" s="91">
        <f t="shared" si="0"/>
        <v>1.3800100000000001E-3</v>
      </c>
      <c r="E29" s="25">
        <f>C29*'Totals and MOU%s'!$C$26</f>
        <v>131359.22765243996</v>
      </c>
      <c r="F29" s="30">
        <f>N29*'Totals and MOU%s'!$C$26</f>
        <v>131358.86592910605</v>
      </c>
      <c r="G29" s="75">
        <f t="shared" si="4"/>
        <v>0.36172333391732536</v>
      </c>
      <c r="H29" s="25">
        <f>C29*'Totals and MOU%s'!$D$26</f>
        <v>30192.743873937754</v>
      </c>
      <c r="I29" s="30">
        <f>N29*'Totals and MOU%s'!$D$26</f>
        <v>30192.660732310254</v>
      </c>
      <c r="J29" s="75">
        <f t="shared" si="5"/>
        <v>8.3141627499571769E-2</v>
      </c>
      <c r="K29" s="73">
        <f>C29*'Totals and MOU%s'!$E$26</f>
        <v>59235.722893005164</v>
      </c>
      <c r="L29" s="73">
        <f t="shared" si="1"/>
        <v>382339.66594576061</v>
      </c>
      <c r="M29" s="100" t="e">
        <f>_xlfn.XLOOKUP(B29,#REF!,#REF!)</f>
        <v>#REF!</v>
      </c>
      <c r="N29" s="100">
        <v>1.3800100000000001E-3</v>
      </c>
      <c r="O29" s="92" t="str">
        <f t="shared" si="2"/>
        <v>Allocation Match</v>
      </c>
      <c r="P29" s="91">
        <f t="shared" si="3"/>
        <v>0</v>
      </c>
    </row>
    <row r="30" spans="1:16" x14ac:dyDescent="0.25">
      <c r="A30" t="s">
        <v>35</v>
      </c>
      <c r="B30" s="76" t="s">
        <v>35</v>
      </c>
      <c r="C30" s="99">
        <v>4.6300463004629996E-3</v>
      </c>
      <c r="D30" s="91">
        <f t="shared" si="0"/>
        <v>4.6300500000000001E-3</v>
      </c>
      <c r="E30" s="25">
        <f>C30*'Totals and MOU%s'!$C$26</f>
        <v>440719.72755854856</v>
      </c>
      <c r="F30" s="30">
        <f>N30*'Totals and MOU%s'!$C$26</f>
        <v>440720.07970598579</v>
      </c>
      <c r="G30" s="75">
        <f t="shared" si="4"/>
        <v>-0.35214743722463027</v>
      </c>
      <c r="H30" s="25">
        <f>C30*'Totals and MOU%s'!$D$26</f>
        <v>101298.84357705203</v>
      </c>
      <c r="I30" s="30">
        <f>N30*'Totals and MOU%s'!$D$26</f>
        <v>101298.92451767241</v>
      </c>
      <c r="J30" s="75">
        <f t="shared" si="5"/>
        <v>-8.0940620377077721E-2</v>
      </c>
      <c r="K30" s="73">
        <f>C30*'Totals and MOU%s'!$E$26</f>
        <v>198740.14274972019</v>
      </c>
      <c r="L30" s="73">
        <f t="shared" si="1"/>
        <v>1282777.2850209216</v>
      </c>
      <c r="M30" s="100" t="e">
        <f>_xlfn.XLOOKUP(B30,#REF!,#REF!)</f>
        <v>#REF!</v>
      </c>
      <c r="N30" s="100">
        <v>4.6300500000000001E-3</v>
      </c>
      <c r="O30" s="92" t="str">
        <f t="shared" si="2"/>
        <v>Allocation Match</v>
      </c>
      <c r="P30" s="91">
        <f t="shared" si="3"/>
        <v>0</v>
      </c>
    </row>
    <row r="31" spans="1:16" x14ac:dyDescent="0.25">
      <c r="A31" t="s">
        <v>36</v>
      </c>
      <c r="B31" s="76" t="s">
        <v>36</v>
      </c>
      <c r="C31" s="99">
        <v>2.9120291202911999E-2</v>
      </c>
      <c r="D31" s="91">
        <f t="shared" si="0"/>
        <v>2.912029E-2</v>
      </c>
      <c r="E31" s="25">
        <f>C31*'Totals and MOU%s'!$C$26</f>
        <v>2771870.0791587336</v>
      </c>
      <c r="F31" s="30">
        <f>N31*'Totals and MOU%s'!$C$26</f>
        <v>2771870.9165262184</v>
      </c>
      <c r="G31" s="75">
        <f t="shared" si="4"/>
        <v>-0.83736748481169343</v>
      </c>
      <c r="H31" s="25">
        <f>C31*'Totals and MOU%s'!$D$26</f>
        <v>637110.65333990392</v>
      </c>
      <c r="I31" s="30">
        <f>N31*'Totals and MOU%s'!$D$26</f>
        <v>637110.8458077074</v>
      </c>
      <c r="J31" s="75">
        <f t="shared" si="5"/>
        <v>-0.19246780348476022</v>
      </c>
      <c r="K31" s="73">
        <f>C31*'Totals and MOU%s'!$E$26</f>
        <v>1249959.601916167</v>
      </c>
      <c r="L31" s="73">
        <f t="shared" si="1"/>
        <v>8067921.0669134418</v>
      </c>
      <c r="M31" s="100" t="e">
        <f>_xlfn.XLOOKUP(B31,#REF!,#REF!)</f>
        <v>#REF!</v>
      </c>
      <c r="N31" s="100">
        <v>2.9120299999999998E-2</v>
      </c>
      <c r="O31" s="92" t="str">
        <f t="shared" si="2"/>
        <v>Difference</v>
      </c>
      <c r="P31" s="91">
        <f t="shared" si="3"/>
        <v>9.9999999982058885E-9</v>
      </c>
    </row>
    <row r="32" spans="1:16" x14ac:dyDescent="0.25">
      <c r="A32" t="s">
        <v>37</v>
      </c>
      <c r="B32" s="76" t="s">
        <v>239</v>
      </c>
      <c r="C32" s="99">
        <v>4.0880408804087998E-2</v>
      </c>
      <c r="D32" s="91">
        <f t="shared" si="0"/>
        <v>4.0880409999999999E-2</v>
      </c>
      <c r="E32" s="25">
        <f>C32*'Totals and MOU%s'!$C$26</f>
        <v>3891279.1495882217</v>
      </c>
      <c r="F32" s="30">
        <f>N32*'Totals and MOU%s'!$C$26</f>
        <v>3891278.3115544282</v>
      </c>
      <c r="G32" s="75">
        <f t="shared" si="4"/>
        <v>0.83803379349410534</v>
      </c>
      <c r="H32" s="25">
        <f>C32*'Totals and MOU%s'!$D$26</f>
        <v>894405.34026563435</v>
      </c>
      <c r="I32" s="30">
        <f>N32*'Totals and MOU%s'!$D$26</f>
        <v>894405.14764468081</v>
      </c>
      <c r="J32" s="75">
        <f t="shared" si="5"/>
        <v>0.19262095354497433</v>
      </c>
      <c r="K32" s="73">
        <f>C32*'Totals and MOU%s'!$E$26</f>
        <v>1754750.9796130804</v>
      </c>
      <c r="L32" s="73">
        <f t="shared" si="1"/>
        <v>11326119.959320791</v>
      </c>
      <c r="M32" s="100" t="e">
        <f>_xlfn.XLOOKUP(B32,#REF!,#REF!)</f>
        <v>#REF!</v>
      </c>
      <c r="N32" s="100">
        <v>4.0880399999999997E-2</v>
      </c>
      <c r="O32" s="92" t="str">
        <f t="shared" si="2"/>
        <v>Difference</v>
      </c>
      <c r="P32" s="91">
        <f t="shared" si="3"/>
        <v>-1.0000000001675335E-8</v>
      </c>
    </row>
    <row r="33" spans="1:16" x14ac:dyDescent="0.25">
      <c r="A33" t="s">
        <v>38</v>
      </c>
      <c r="B33" s="76" t="s">
        <v>240</v>
      </c>
      <c r="C33" s="99">
        <v>1.250012500125E-3</v>
      </c>
      <c r="D33" s="91">
        <f t="shared" si="0"/>
        <v>1.25001E-3</v>
      </c>
      <c r="E33" s="25">
        <f>C33*'Totals and MOU%s'!$C$26</f>
        <v>118984.80765619563</v>
      </c>
      <c r="F33" s="30">
        <f>N33*'Totals and MOU%s'!$C$26</f>
        <v>118984.56967706165</v>
      </c>
      <c r="G33" s="75">
        <f t="shared" si="4"/>
        <v>0.23797913397720549</v>
      </c>
      <c r="H33" s="25">
        <f>C33*'Totals and MOU%s'!$D$26</f>
        <v>27348.499885813184</v>
      </c>
      <c r="I33" s="30">
        <f>N33*'Totals and MOU%s'!$D$26</f>
        <v>27348.445186625559</v>
      </c>
      <c r="J33" s="75">
        <f t="shared" si="5"/>
        <v>5.4699187625374179E-2</v>
      </c>
      <c r="K33" s="73">
        <f>C33*'Totals and MOU%s'!$E$26</f>
        <v>53655.546098736559</v>
      </c>
      <c r="L33" s="73">
        <f t="shared" si="1"/>
        <v>346322.16118275421</v>
      </c>
      <c r="M33" s="100" t="e">
        <f>_xlfn.XLOOKUP(B33,#REF!,#REF!)</f>
        <v>#REF!</v>
      </c>
      <c r="N33" s="100">
        <v>1.25001E-3</v>
      </c>
      <c r="O33" s="92" t="str">
        <f t="shared" si="2"/>
        <v>Allocation Match</v>
      </c>
      <c r="P33" s="91">
        <f t="shared" si="3"/>
        <v>0</v>
      </c>
    </row>
    <row r="34" spans="1:16" x14ac:dyDescent="0.25">
      <c r="A34" t="s">
        <v>39</v>
      </c>
      <c r="B34" s="76" t="s">
        <v>39</v>
      </c>
      <c r="C34" s="99">
        <v>2.8300283002829999E-3</v>
      </c>
      <c r="D34" s="91">
        <f t="shared" si="0"/>
        <v>2.8300299999999999E-3</v>
      </c>
      <c r="E34" s="25">
        <f>C34*'Totals and MOU%s'!$C$26</f>
        <v>269381.60453362693</v>
      </c>
      <c r="F34" s="30">
        <f>N34*'Totals and MOU%s'!$C$26</f>
        <v>269381.76632440923</v>
      </c>
      <c r="G34" s="75">
        <f t="shared" si="4"/>
        <v>-0.16179078229470178</v>
      </c>
      <c r="H34" s="25">
        <f>C34*'Totals and MOU%s'!$D$26</f>
        <v>61917.00374148105</v>
      </c>
      <c r="I34" s="30">
        <f>N34*'Totals and MOU%s'!$D$26</f>
        <v>61917.040928877315</v>
      </c>
      <c r="J34" s="75">
        <f t="shared" si="5"/>
        <v>-3.7187396264926065E-2</v>
      </c>
      <c r="K34" s="73">
        <f>C34*'Totals and MOU%s'!$E$26</f>
        <v>121476.15636753957</v>
      </c>
      <c r="L34" s="73">
        <f t="shared" si="1"/>
        <v>784073.37291775551</v>
      </c>
      <c r="M34" s="100" t="e">
        <f>_xlfn.XLOOKUP(B34,#REF!,#REF!)</f>
        <v>#REF!</v>
      </c>
      <c r="N34" s="100">
        <v>2.8300299999999999E-3</v>
      </c>
      <c r="O34" s="92" t="str">
        <f t="shared" si="2"/>
        <v>Allocation Match</v>
      </c>
      <c r="P34" s="91">
        <f t="shared" si="3"/>
        <v>0</v>
      </c>
    </row>
    <row r="35" spans="1:16" x14ac:dyDescent="0.25">
      <c r="A35" t="s">
        <v>40</v>
      </c>
      <c r="B35" s="76" t="s">
        <v>40</v>
      </c>
      <c r="C35" s="99">
        <v>1.0000100001E-3</v>
      </c>
      <c r="D35" s="91">
        <f t="shared" si="0"/>
        <v>1.00001E-3</v>
      </c>
      <c r="E35" s="25">
        <f>C35*'Totals and MOU%s'!$C$26</f>
        <v>95187.846124956515</v>
      </c>
      <c r="F35" s="30">
        <f>N35*'Totals and MOU%s'!$C$26</f>
        <v>95187.846115437816</v>
      </c>
      <c r="G35" s="75">
        <f t="shared" si="4"/>
        <v>9.5186987891793251E-6</v>
      </c>
      <c r="H35" s="25">
        <f>C35*'Totals and MOU%s'!$D$26</f>
        <v>21878.799908650548</v>
      </c>
      <c r="I35" s="30">
        <f>N35*'Totals and MOU%s'!$D$26</f>
        <v>21878.799906462689</v>
      </c>
      <c r="J35" s="75">
        <f t="shared" si="5"/>
        <v>2.1878586267121136E-6</v>
      </c>
      <c r="K35" s="73">
        <f>C35*'Totals and MOU%s'!$E$26</f>
        <v>42924.436878989254</v>
      </c>
      <c r="L35" s="73">
        <f t="shared" si="1"/>
        <v>277057.72894620337</v>
      </c>
      <c r="M35" s="100" t="e">
        <f>_xlfn.XLOOKUP(B35,#REF!,#REF!)</f>
        <v>#REF!</v>
      </c>
      <c r="N35" s="100">
        <v>1.00001E-3</v>
      </c>
      <c r="O35" s="92" t="str">
        <f t="shared" si="2"/>
        <v>Allocation Match</v>
      </c>
      <c r="P35" s="91">
        <f t="shared" si="3"/>
        <v>0</v>
      </c>
    </row>
    <row r="36" spans="1:16" x14ac:dyDescent="0.25">
      <c r="A36" t="s">
        <v>41</v>
      </c>
      <c r="B36" s="76" t="s">
        <v>241</v>
      </c>
      <c r="C36" s="99">
        <v>7.0000700006999999E-4</v>
      </c>
      <c r="D36" s="91">
        <f t="shared" si="0"/>
        <v>7.0001000000000004E-4</v>
      </c>
      <c r="E36" s="25">
        <f>C36*'Totals and MOU%s'!$C$26</f>
        <v>66631.492287469548</v>
      </c>
      <c r="F36" s="30">
        <f>N36*'Totals and MOU%s'!$C$26</f>
        <v>66631.492280806473</v>
      </c>
      <c r="G36" s="75">
        <f t="shared" si="4"/>
        <v>6.6630746005102992E-6</v>
      </c>
      <c r="H36" s="25">
        <f>C36*'Totals and MOU%s'!$D$26</f>
        <v>15315.159936055383</v>
      </c>
      <c r="I36" s="30">
        <f>N36*'Totals and MOU%s'!$D$26</f>
        <v>15315.159934523883</v>
      </c>
      <c r="J36" s="75">
        <f t="shared" si="5"/>
        <v>1.5314999473048374E-6</v>
      </c>
      <c r="K36" s="73">
        <f>C36*'Totals and MOU%s'!$E$26</f>
        <v>30047.105815292474</v>
      </c>
      <c r="L36" s="73">
        <f t="shared" si="1"/>
        <v>193940.4102623424</v>
      </c>
      <c r="M36" s="100" t="e">
        <f>_xlfn.XLOOKUP(B36,#REF!,#REF!)</f>
        <v>#REF!</v>
      </c>
      <c r="N36" s="100">
        <v>7.0000699999999999E-4</v>
      </c>
      <c r="O36" s="92" t="str">
        <f t="shared" si="2"/>
        <v>Difference</v>
      </c>
      <c r="P36" s="91">
        <f t="shared" si="3"/>
        <v>-3.0000000000472357E-9</v>
      </c>
    </row>
    <row r="37" spans="1:16" x14ac:dyDescent="0.25">
      <c r="A37" t="s">
        <v>42</v>
      </c>
      <c r="B37" s="76" t="s">
        <v>242</v>
      </c>
      <c r="C37" s="99">
        <v>7.9000790007900095E-3</v>
      </c>
      <c r="D37" s="91">
        <f t="shared" si="0"/>
        <v>7.9000800000000003E-3</v>
      </c>
      <c r="E37" s="25">
        <f>C37*'Totals and MOU%s'!$C$26</f>
        <v>751983.98438715725</v>
      </c>
      <c r="F37" s="30">
        <f>N37*'Totals and MOU%s'!$C$26</f>
        <v>751984.07949885307</v>
      </c>
      <c r="G37" s="75">
        <f t="shared" si="4"/>
        <v>-9.5111695816740394E-2</v>
      </c>
      <c r="H37" s="25">
        <f>C37*'Totals and MOU%s'!$D$26</f>
        <v>172842.51927833955</v>
      </c>
      <c r="I37" s="30">
        <f>N37*'Totals and MOU%s'!$D$26</f>
        <v>172842.54113963639</v>
      </c>
      <c r="J37" s="75">
        <f t="shared" si="5"/>
        <v>-2.1861296845600009E-2</v>
      </c>
      <c r="K37" s="73">
        <f>C37*'Totals and MOU%s'!$E$26</f>
        <v>339103.05134401546</v>
      </c>
      <c r="L37" s="73">
        <f t="shared" si="1"/>
        <v>2188756.0586750093</v>
      </c>
      <c r="M37" s="100" t="e">
        <f>_xlfn.XLOOKUP(B37,#REF!,#REF!)</f>
        <v>#REF!</v>
      </c>
      <c r="N37" s="100">
        <v>7.9000800000000003E-3</v>
      </c>
      <c r="O37" s="92" t="str">
        <f t="shared" si="2"/>
        <v>Allocation Match</v>
      </c>
      <c r="P37" s="91">
        <f t="shared" si="3"/>
        <v>0</v>
      </c>
    </row>
    <row r="38" spans="1:16" x14ac:dyDescent="0.25">
      <c r="A38" t="s">
        <v>43</v>
      </c>
      <c r="B38" s="76" t="s">
        <v>243</v>
      </c>
      <c r="C38" s="99">
        <v>1.0000100001E-3</v>
      </c>
      <c r="D38" s="91">
        <f t="shared" si="0"/>
        <v>1.00001E-3</v>
      </c>
      <c r="E38" s="25">
        <f>C38*'Totals and MOU%s'!$C$26</f>
        <v>95187.846124956515</v>
      </c>
      <c r="F38" s="30">
        <f>N38*'Totals and MOU%s'!$C$26</f>
        <v>95187.846115437816</v>
      </c>
      <c r="G38" s="75">
        <f t="shared" si="4"/>
        <v>9.5186987891793251E-6</v>
      </c>
      <c r="H38" s="25">
        <f>C38*'Totals and MOU%s'!$D$26</f>
        <v>21878.799908650548</v>
      </c>
      <c r="I38" s="30">
        <f>N38*'Totals and MOU%s'!$D$26</f>
        <v>21878.799906462689</v>
      </c>
      <c r="J38" s="75">
        <f t="shared" si="5"/>
        <v>2.1878586267121136E-6</v>
      </c>
      <c r="K38" s="73">
        <f>C38*'Totals and MOU%s'!$E$26</f>
        <v>42924.436878989254</v>
      </c>
      <c r="L38" s="73">
        <f t="shared" si="1"/>
        <v>277057.72894620337</v>
      </c>
      <c r="M38" s="100" t="e">
        <f>_xlfn.XLOOKUP(B38,#REF!,#REF!)</f>
        <v>#REF!</v>
      </c>
      <c r="N38" s="100">
        <v>1.00001E-3</v>
      </c>
      <c r="O38" s="92" t="str">
        <f t="shared" si="2"/>
        <v>Allocation Match</v>
      </c>
      <c r="P38" s="91">
        <f t="shared" si="3"/>
        <v>0</v>
      </c>
    </row>
    <row r="39" spans="1:16" x14ac:dyDescent="0.25">
      <c r="A39" t="s">
        <v>44</v>
      </c>
      <c r="B39" s="76" t="s">
        <v>44</v>
      </c>
      <c r="C39" s="99">
        <v>6.3700637006370098E-3</v>
      </c>
      <c r="D39" s="91">
        <f t="shared" ref="D39:D70" si="6">ROUND(C39,8)</f>
        <v>6.3700600000000003E-3</v>
      </c>
      <c r="E39" s="25">
        <f>C39*'Totals and MOU%s'!$C$26</f>
        <v>606346.57981597388</v>
      </c>
      <c r="F39" s="30">
        <f>N39*'Totals and MOU%s'!$C$26</f>
        <v>606346.22756383021</v>
      </c>
      <c r="G39" s="75">
        <f t="shared" si="4"/>
        <v>0.35225214366801083</v>
      </c>
      <c r="H39" s="25">
        <f>C39*'Totals and MOU%s'!$D$26</f>
        <v>139367.95541810422</v>
      </c>
      <c r="I39" s="30">
        <f>N39*'Totals and MOU%s'!$D$26</f>
        <v>139367.8744534172</v>
      </c>
      <c r="J39" s="75">
        <f t="shared" si="5"/>
        <v>8.096468701842241E-2</v>
      </c>
      <c r="K39" s="73">
        <f>C39*'Totals and MOU%s'!$E$26</f>
        <v>273428.66291916196</v>
      </c>
      <c r="L39" s="73">
        <f t="shared" ref="L39:L70" si="7">SUM(E39:K39)</f>
        <v>1764857.7333873184</v>
      </c>
      <c r="M39" s="100" t="e">
        <f>_xlfn.XLOOKUP(B39,#REF!,#REF!)</f>
        <v>#REF!</v>
      </c>
      <c r="N39" s="100">
        <v>6.3700600000000003E-3</v>
      </c>
      <c r="O39" s="92" t="str">
        <f t="shared" ref="O39:O70" si="8">IF(N39=D39,"Allocation Match","Difference")</f>
        <v>Allocation Match</v>
      </c>
      <c r="P39" s="91">
        <f t="shared" ref="P39:P70" si="9">N39-D39</f>
        <v>0</v>
      </c>
    </row>
    <row r="40" spans="1:16" x14ac:dyDescent="0.25">
      <c r="A40" t="s">
        <v>45</v>
      </c>
      <c r="B40" s="76" t="s">
        <v>244</v>
      </c>
      <c r="C40" s="99">
        <v>9.4800948009480107E-3</v>
      </c>
      <c r="D40" s="91">
        <f t="shared" si="6"/>
        <v>9.48009E-3</v>
      </c>
      <c r="E40" s="25">
        <f>C40*'Totals and MOU%s'!$C$26</f>
        <v>902380.7812645887</v>
      </c>
      <c r="F40" s="30">
        <f>N40*'Totals and MOU%s'!$C$26</f>
        <v>902380.32427725813</v>
      </c>
      <c r="G40" s="75">
        <f t="shared" si="4"/>
        <v>0.45698733057361096</v>
      </c>
      <c r="H40" s="25">
        <f>C40*'Totals and MOU%s'!$D$26</f>
        <v>207411.02313400744</v>
      </c>
      <c r="I40" s="30">
        <f>N40*'Totals and MOU%s'!$D$26</f>
        <v>207410.91809607693</v>
      </c>
      <c r="J40" s="75">
        <f t="shared" si="5"/>
        <v>0.10503793050884269</v>
      </c>
      <c r="K40" s="73">
        <f>C40*'Totals and MOU%s'!$E$26</f>
        <v>406923.66161281854</v>
      </c>
      <c r="L40" s="73">
        <f t="shared" si="7"/>
        <v>2626507.2704100106</v>
      </c>
      <c r="M40" s="100" t="e">
        <f>_xlfn.XLOOKUP(B40,#REF!,#REF!)</f>
        <v>#REF!</v>
      </c>
      <c r="N40" s="100">
        <v>9.48009E-3</v>
      </c>
      <c r="O40" s="92" t="str">
        <f t="shared" si="8"/>
        <v>Allocation Match</v>
      </c>
      <c r="P40" s="91">
        <f t="shared" si="9"/>
        <v>0</v>
      </c>
    </row>
    <row r="41" spans="1:16" x14ac:dyDescent="0.25">
      <c r="A41" t="s">
        <v>46</v>
      </c>
      <c r="B41" s="76" t="s">
        <v>245</v>
      </c>
      <c r="C41" s="99">
        <v>1.960019600196E-3</v>
      </c>
      <c r="D41" s="91">
        <f t="shared" si="6"/>
        <v>1.9600199999999998E-3</v>
      </c>
      <c r="E41" s="25">
        <f>C41*'Totals and MOU%s'!$C$26</f>
        <v>186568.17840491474</v>
      </c>
      <c r="F41" s="30">
        <f>N41*'Totals and MOU%s'!$C$26</f>
        <v>186568.21646101581</v>
      </c>
      <c r="G41" s="75">
        <f t="shared" si="4"/>
        <v>-3.8056101067923009E-2</v>
      </c>
      <c r="H41" s="25">
        <f>C41*'Totals and MOU%s'!$D$26</f>
        <v>42882.447820955073</v>
      </c>
      <c r="I41" s="30">
        <f>N41*'Totals and MOU%s'!$D$26</f>
        <v>42882.456568099318</v>
      </c>
      <c r="J41" s="75">
        <f t="shared" si="5"/>
        <v>-8.7471442457172088E-3</v>
      </c>
      <c r="K41" s="73">
        <f>C41*'Totals and MOU%s'!$E$26</f>
        <v>84131.896282818925</v>
      </c>
      <c r="L41" s="73">
        <f t="shared" si="7"/>
        <v>543033.14873455861</v>
      </c>
      <c r="M41" s="100" t="e">
        <f>_xlfn.XLOOKUP(B41,#REF!,#REF!)</f>
        <v>#REF!</v>
      </c>
      <c r="N41" s="100">
        <v>1.9600199999999998E-3</v>
      </c>
      <c r="O41" s="92" t="str">
        <f t="shared" si="8"/>
        <v>Allocation Match</v>
      </c>
      <c r="P41" s="91">
        <f t="shared" si="9"/>
        <v>0</v>
      </c>
    </row>
    <row r="42" spans="1:16" x14ac:dyDescent="0.25">
      <c r="A42" t="s">
        <v>47</v>
      </c>
      <c r="B42" s="76" t="s">
        <v>47</v>
      </c>
      <c r="C42" s="99">
        <v>5.0000500005000002E-4</v>
      </c>
      <c r="D42" s="91">
        <f t="shared" si="6"/>
        <v>5.0000999999999995E-4</v>
      </c>
      <c r="E42" s="25">
        <f>C42*'Totals and MOU%s'!$C$26</f>
        <v>47593.923062478258</v>
      </c>
      <c r="F42" s="30">
        <f>N42*'Totals and MOU%s'!$C$26</f>
        <v>47593.923057718908</v>
      </c>
      <c r="G42" s="75">
        <f t="shared" si="4"/>
        <v>4.7593493945896626E-6</v>
      </c>
      <c r="H42" s="25">
        <f>C42*'Totals and MOU%s'!$D$26</f>
        <v>10939.399954325274</v>
      </c>
      <c r="I42" s="30">
        <f>N42*'Totals and MOU%s'!$D$26</f>
        <v>10939.399953231345</v>
      </c>
      <c r="J42" s="75">
        <f t="shared" si="5"/>
        <v>1.0939293133560568E-6</v>
      </c>
      <c r="K42" s="73">
        <f>C42*'Totals and MOU%s'!$E$26</f>
        <v>21462.218439494627</v>
      </c>
      <c r="L42" s="73">
        <f t="shared" si="7"/>
        <v>138528.86447310168</v>
      </c>
      <c r="M42" s="100" t="e">
        <f>_xlfn.XLOOKUP(B42,#REF!,#REF!)</f>
        <v>#REF!</v>
      </c>
      <c r="N42" s="100">
        <v>5.0000499999999998E-4</v>
      </c>
      <c r="O42" s="92" t="str">
        <f t="shared" si="8"/>
        <v>Difference</v>
      </c>
      <c r="P42" s="91">
        <f t="shared" si="9"/>
        <v>-4.999999999970306E-9</v>
      </c>
    </row>
    <row r="43" spans="1:16" x14ac:dyDescent="0.25">
      <c r="A43" t="s">
        <v>48</v>
      </c>
      <c r="B43" s="76" t="s">
        <v>246</v>
      </c>
      <c r="C43" s="99">
        <v>1.010010100101E-3</v>
      </c>
      <c r="D43" s="91">
        <f t="shared" si="6"/>
        <v>1.01001E-3</v>
      </c>
      <c r="E43" s="25">
        <f>C43*'Totals and MOU%s'!$C$26</f>
        <v>96139.724586206066</v>
      </c>
      <c r="F43" s="30">
        <f>N43*'Totals and MOU%s'!$C$26</f>
        <v>96139.715057902766</v>
      </c>
      <c r="G43" s="75">
        <f t="shared" si="4"/>
        <v>9.5283033006126061E-3</v>
      </c>
      <c r="H43" s="25">
        <f>C43*'Totals and MOU%s'!$D$26</f>
        <v>22097.587907737052</v>
      </c>
      <c r="I43" s="30">
        <f>N43*'Totals and MOU%s'!$D$26</f>
        <v>22097.585717669204</v>
      </c>
      <c r="J43" s="75">
        <f t="shared" si="5"/>
        <v>2.190067847550381E-3</v>
      </c>
      <c r="K43" s="73">
        <f>C43*'Totals and MOU%s'!$E$26</f>
        <v>43353.681247779139</v>
      </c>
      <c r="L43" s="73">
        <f t="shared" si="7"/>
        <v>279828.30623566534</v>
      </c>
      <c r="M43" s="100" t="e">
        <f>_xlfn.XLOOKUP(B43,#REF!,#REF!)</f>
        <v>#REF!</v>
      </c>
      <c r="N43" s="100">
        <v>1.01001E-3</v>
      </c>
      <c r="O43" s="92" t="str">
        <f t="shared" si="8"/>
        <v>Allocation Match</v>
      </c>
      <c r="P43" s="91">
        <f t="shared" si="9"/>
        <v>0</v>
      </c>
    </row>
    <row r="44" spans="1:16" x14ac:dyDescent="0.25">
      <c r="A44" t="s">
        <v>50</v>
      </c>
      <c r="B44" s="76" t="s">
        <v>50</v>
      </c>
      <c r="C44" s="99">
        <v>2.6900269002689998E-3</v>
      </c>
      <c r="D44" s="91">
        <f t="shared" si="6"/>
        <v>2.6900299999999999E-3</v>
      </c>
      <c r="E44" s="25">
        <f>C44*'Totals and MOU%s'!$C$26</f>
        <v>256055.30607613298</v>
      </c>
      <c r="F44" s="30">
        <f>N44*'Totals and MOU%s'!$C$26</f>
        <v>256055.60112989988</v>
      </c>
      <c r="G44" s="75">
        <f t="shared" si="4"/>
        <v>-0.29505376689485274</v>
      </c>
      <c r="H44" s="25">
        <f>C44*'Totals and MOU%s'!$D$26</f>
        <v>58853.971754269973</v>
      </c>
      <c r="I44" s="30">
        <f>N44*'Totals and MOU%s'!$D$26</f>
        <v>58854.039571986112</v>
      </c>
      <c r="J44" s="75">
        <f t="shared" si="5"/>
        <v>-6.7817716138961259E-2</v>
      </c>
      <c r="K44" s="73">
        <f>C44*'Totals and MOU%s'!$E$26</f>
        <v>115466.73520448107</v>
      </c>
      <c r="L44" s="73">
        <f t="shared" si="7"/>
        <v>745285.29086528695</v>
      </c>
      <c r="M44" s="100" t="e">
        <f>_xlfn.XLOOKUP(B44,#REF!,#REF!)</f>
        <v>#REF!</v>
      </c>
      <c r="N44" s="100">
        <v>2.6900299999999999E-3</v>
      </c>
      <c r="O44" s="92" t="str">
        <f t="shared" si="8"/>
        <v>Allocation Match</v>
      </c>
      <c r="P44" s="91">
        <f t="shared" si="9"/>
        <v>0</v>
      </c>
    </row>
    <row r="45" spans="1:16" x14ac:dyDescent="0.25">
      <c r="A45" t="s">
        <v>49</v>
      </c>
      <c r="B45" s="76" t="s">
        <v>247</v>
      </c>
      <c r="C45" s="99">
        <v>8.6720867208672101E-2</v>
      </c>
      <c r="D45" s="91">
        <f t="shared" si="6"/>
        <v>8.6720870000000005E-2</v>
      </c>
      <c r="E45" s="25">
        <f>C45*'Totals and MOU%s'!$C$26</f>
        <v>8254690.0159562379</v>
      </c>
      <c r="F45" s="30">
        <f>N45*'Totals and MOU%s'!$C$26</f>
        <v>8254693.1372608989</v>
      </c>
      <c r="G45" s="75">
        <f t="shared" si="4"/>
        <v>-3.1213046610355377</v>
      </c>
      <c r="H45" s="25">
        <f>C45*'Totals and MOU%s'!$D$26</f>
        <v>1897329.5280781777</v>
      </c>
      <c r="I45" s="30">
        <f>N45*'Totals and MOU%s'!$D$26</f>
        <v>1897330.2455059052</v>
      </c>
      <c r="J45" s="75">
        <f t="shared" si="5"/>
        <v>-0.71742772753350437</v>
      </c>
      <c r="K45" s="73">
        <f>C45*'Totals and MOU%s'!$E$26</f>
        <v>3722407.166145952</v>
      </c>
      <c r="L45" s="73">
        <f t="shared" si="7"/>
        <v>24026446.254214782</v>
      </c>
      <c r="M45" s="100" t="e">
        <f>_xlfn.XLOOKUP(B45,#REF!,#REF!)</f>
        <v>#REF!</v>
      </c>
      <c r="N45" s="100">
        <v>8.6720900000000004E-2</v>
      </c>
      <c r="O45" s="92" t="str">
        <f t="shared" si="8"/>
        <v>Difference</v>
      </c>
      <c r="P45" s="91">
        <f t="shared" si="9"/>
        <v>2.9999999998087112E-8</v>
      </c>
    </row>
    <row r="46" spans="1:16" x14ac:dyDescent="0.25">
      <c r="A46" t="s">
        <v>51</v>
      </c>
      <c r="B46" s="76" t="s">
        <v>51</v>
      </c>
      <c r="C46" s="99">
        <v>1.0200102001020001E-3</v>
      </c>
      <c r="D46" s="91">
        <f t="shared" si="6"/>
        <v>1.02001E-3</v>
      </c>
      <c r="E46" s="25">
        <f>C46*'Totals and MOU%s'!$C$26</f>
        <v>97091.603047455646</v>
      </c>
      <c r="F46" s="30">
        <f>N46*'Totals and MOU%s'!$C$26</f>
        <v>97091.584000367729</v>
      </c>
      <c r="G46" s="75">
        <f t="shared" si="4"/>
        <v>1.9047087916987948E-2</v>
      </c>
      <c r="H46" s="25">
        <f>C46*'Totals and MOU%s'!$D$26</f>
        <v>22316.375906823559</v>
      </c>
      <c r="I46" s="30">
        <f>N46*'Totals and MOU%s'!$D$26</f>
        <v>22316.371528875719</v>
      </c>
      <c r="J46" s="75">
        <f t="shared" si="5"/>
        <v>4.3779478401120286E-3</v>
      </c>
      <c r="K46" s="73">
        <f>C46*'Totals and MOU%s'!$E$26</f>
        <v>43782.925616569039</v>
      </c>
      <c r="L46" s="73">
        <f t="shared" si="7"/>
        <v>282598.88352512749</v>
      </c>
      <c r="M46" s="100" t="e">
        <f>_xlfn.XLOOKUP(B46,#REF!,#REF!)</f>
        <v>#REF!</v>
      </c>
      <c r="N46" s="100">
        <v>1.02001E-3</v>
      </c>
      <c r="O46" s="92" t="str">
        <f t="shared" si="8"/>
        <v>Allocation Match</v>
      </c>
      <c r="P46" s="91">
        <f t="shared" si="9"/>
        <v>0</v>
      </c>
    </row>
    <row r="47" spans="1:16" x14ac:dyDescent="0.25">
      <c r="A47" t="s">
        <v>52</v>
      </c>
      <c r="B47" s="76" t="s">
        <v>248</v>
      </c>
      <c r="C47" s="99">
        <v>1.2100121001209999E-2</v>
      </c>
      <c r="D47" s="91">
        <f t="shared" si="6"/>
        <v>1.2100120000000001E-2</v>
      </c>
      <c r="E47" s="25">
        <f>C47*'Totals and MOU%s'!$C$26</f>
        <v>1151772.9381119737</v>
      </c>
      <c r="F47" s="30">
        <f>N47*'Totals and MOU%s'!$C$26</f>
        <v>1151770.9390720185</v>
      </c>
      <c r="G47" s="75">
        <f t="shared" si="4"/>
        <v>1.9990399552043527</v>
      </c>
      <c r="H47" s="25">
        <f>C47*'Totals and MOU%s'!$D$26</f>
        <v>264733.4788946716</v>
      </c>
      <c r="I47" s="30">
        <f>N47*'Totals and MOU%s'!$D$26</f>
        <v>264733.019417995</v>
      </c>
      <c r="J47" s="75">
        <f t="shared" si="5"/>
        <v>0.45947667659493163</v>
      </c>
      <c r="K47" s="73">
        <f>C47*'Totals and MOU%s'!$E$26</f>
        <v>519385.68623576988</v>
      </c>
      <c r="L47" s="73">
        <f t="shared" si="7"/>
        <v>3352398.5202490613</v>
      </c>
      <c r="M47" s="100" t="e">
        <f>_xlfn.XLOOKUP(B47,#REF!,#REF!)</f>
        <v>#REF!</v>
      </c>
      <c r="N47" s="100">
        <v>1.2100100000000001E-2</v>
      </c>
      <c r="O47" s="92" t="str">
        <f t="shared" si="8"/>
        <v>Difference</v>
      </c>
      <c r="P47" s="91">
        <f t="shared" si="9"/>
        <v>-1.9999999999881224E-8</v>
      </c>
    </row>
    <row r="48" spans="1:16" x14ac:dyDescent="0.25">
      <c r="A48" t="s">
        <v>53</v>
      </c>
      <c r="B48" s="76" t="s">
        <v>249</v>
      </c>
      <c r="C48" s="99">
        <v>1.820018200182E-3</v>
      </c>
      <c r="D48" s="91">
        <f t="shared" si="6"/>
        <v>1.8200200000000001E-3</v>
      </c>
      <c r="E48" s="25">
        <f>C48*'Totals and MOU%s'!$C$26</f>
        <v>173241.87994742085</v>
      </c>
      <c r="F48" s="30">
        <f>N48*'Totals and MOU%s'!$C$26</f>
        <v>173242.05126650649</v>
      </c>
      <c r="G48" s="75">
        <f t="shared" si="4"/>
        <v>-0.17131908563897014</v>
      </c>
      <c r="H48" s="25">
        <f>C48*'Totals and MOU%s'!$D$26</f>
        <v>39819.415833743995</v>
      </c>
      <c r="I48" s="30">
        <f>N48*'Totals and MOU%s'!$D$26</f>
        <v>39819.455211208115</v>
      </c>
      <c r="J48" s="75">
        <f t="shared" si="5"/>
        <v>-3.9377464119752403E-2</v>
      </c>
      <c r="K48" s="73">
        <f>C48*'Totals and MOU%s'!$E$26</f>
        <v>78122.475119760435</v>
      </c>
      <c r="L48" s="73">
        <f t="shared" si="7"/>
        <v>504245.06668209011</v>
      </c>
      <c r="M48" s="100" t="e">
        <f>_xlfn.XLOOKUP(B48,#REF!,#REF!)</f>
        <v>#REF!</v>
      </c>
      <c r="N48" s="100">
        <v>1.8200200000000001E-3</v>
      </c>
      <c r="O48" s="92" t="str">
        <f t="shared" si="8"/>
        <v>Allocation Match</v>
      </c>
      <c r="P48" s="91">
        <f t="shared" si="9"/>
        <v>0</v>
      </c>
    </row>
    <row r="49" spans="1:16" x14ac:dyDescent="0.25">
      <c r="A49" t="s">
        <v>54</v>
      </c>
      <c r="B49" s="76" t="s">
        <v>250</v>
      </c>
      <c r="C49" s="99">
        <v>1.940019400194E-3</v>
      </c>
      <c r="D49" s="91">
        <f t="shared" si="6"/>
        <v>1.94002E-3</v>
      </c>
      <c r="E49" s="25">
        <f>C49*'Totals and MOU%s'!$C$26</f>
        <v>184664.42148241561</v>
      </c>
      <c r="F49" s="30">
        <f>N49*'Totals and MOU%s'!$C$26</f>
        <v>184664.47857608591</v>
      </c>
      <c r="G49" s="75">
        <f t="shared" si="4"/>
        <v>-5.7093670300673693E-2</v>
      </c>
      <c r="H49" s="25">
        <f>C49*'Totals and MOU%s'!$D$26</f>
        <v>42444.871822782065</v>
      </c>
      <c r="I49" s="30">
        <f>N49*'Totals and MOU%s'!$D$26</f>
        <v>42444.884945686288</v>
      </c>
      <c r="J49" s="75">
        <f t="shared" si="5"/>
        <v>-1.3122904223564547E-2</v>
      </c>
      <c r="K49" s="73">
        <f>C49*'Totals and MOU%s'!$E$26</f>
        <v>83273.407545239141</v>
      </c>
      <c r="L49" s="73">
        <f t="shared" si="7"/>
        <v>537491.99415563443</v>
      </c>
      <c r="M49" s="100" t="e">
        <f>_xlfn.XLOOKUP(B49,#REF!,#REF!)</f>
        <v>#REF!</v>
      </c>
      <c r="N49" s="100">
        <v>1.94002E-3</v>
      </c>
      <c r="O49" s="92" t="str">
        <f t="shared" si="8"/>
        <v>Allocation Match</v>
      </c>
      <c r="P49" s="91">
        <f t="shared" si="9"/>
        <v>0</v>
      </c>
    </row>
    <row r="50" spans="1:16" x14ac:dyDescent="0.25">
      <c r="A50" t="s">
        <v>56</v>
      </c>
      <c r="B50" s="76" t="s">
        <v>56</v>
      </c>
      <c r="C50" s="99">
        <v>7.9000790007899995E-4</v>
      </c>
      <c r="D50" s="91">
        <f t="shared" si="6"/>
        <v>7.9000999999999995E-4</v>
      </c>
      <c r="E50" s="25">
        <f>C50*'Totals and MOU%s'!$C$26</f>
        <v>75198.398438715638</v>
      </c>
      <c r="F50" s="30">
        <f>N50*'Totals and MOU%s'!$C$26</f>
        <v>75198.407949885295</v>
      </c>
      <c r="G50" s="75">
        <f t="shared" si="4"/>
        <v>-9.5111696573439986E-3</v>
      </c>
      <c r="H50" s="25">
        <f>C50*'Totals and MOU%s'!$D$26</f>
        <v>17284.251927833931</v>
      </c>
      <c r="I50" s="30">
        <f>N50*'Totals and MOU%s'!$D$26</f>
        <v>17284.254113963638</v>
      </c>
      <c r="J50" s="75">
        <f t="shared" si="5"/>
        <v>-2.1861297063878737E-3</v>
      </c>
      <c r="K50" s="73">
        <f>C50*'Totals and MOU%s'!$E$26</f>
        <v>33910.305134401504</v>
      </c>
      <c r="L50" s="73">
        <f t="shared" si="7"/>
        <v>218875.60586750065</v>
      </c>
      <c r="M50" s="100" t="e">
        <f>_xlfn.XLOOKUP(B50,#REF!,#REF!)</f>
        <v>#REF!</v>
      </c>
      <c r="N50" s="100">
        <v>7.9000800000000003E-4</v>
      </c>
      <c r="O50" s="92" t="str">
        <f t="shared" si="8"/>
        <v>Difference</v>
      </c>
      <c r="P50" s="91">
        <f t="shared" si="9"/>
        <v>-1.9999999999230703E-9</v>
      </c>
    </row>
    <row r="51" spans="1:16" x14ac:dyDescent="0.25">
      <c r="A51" t="s">
        <v>55</v>
      </c>
      <c r="B51" s="76" t="s">
        <v>251</v>
      </c>
      <c r="C51" s="99">
        <v>9.5400954009540097E-3</v>
      </c>
      <c r="D51" s="91">
        <f t="shared" si="6"/>
        <v>9.5400999999999993E-3</v>
      </c>
      <c r="E51" s="25">
        <f>C51*'Totals and MOU%s'!$C$26</f>
        <v>908092.05203208595</v>
      </c>
      <c r="F51" s="30">
        <f>N51*'Totals and MOU%s'!$C$26</f>
        <v>908092.48980099021</v>
      </c>
      <c r="G51" s="75">
        <f t="shared" si="4"/>
        <v>-0.43776890425942838</v>
      </c>
      <c r="H51" s="25">
        <f>C51*'Totals and MOU%s'!$D$26</f>
        <v>208723.75112852643</v>
      </c>
      <c r="I51" s="30">
        <f>N51*'Totals and MOU%s'!$D$26</f>
        <v>208723.85174912721</v>
      </c>
      <c r="J51" s="75">
        <f t="shared" si="5"/>
        <v>-0.10062060077325441</v>
      </c>
      <c r="K51" s="73">
        <f>C51*'Totals and MOU%s'!$E$26</f>
        <v>409499.12782555784</v>
      </c>
      <c r="L51" s="73">
        <f t="shared" si="7"/>
        <v>2643130.7341467822</v>
      </c>
      <c r="M51" s="100" t="e">
        <f>_xlfn.XLOOKUP(B51,#REF!,#REF!)</f>
        <v>#REF!</v>
      </c>
      <c r="N51" s="100">
        <v>9.5400999999999993E-3</v>
      </c>
      <c r="O51" s="92" t="str">
        <f t="shared" si="8"/>
        <v>Allocation Match</v>
      </c>
      <c r="P51" s="91">
        <f t="shared" si="9"/>
        <v>0</v>
      </c>
    </row>
    <row r="52" spans="1:16" x14ac:dyDescent="0.25">
      <c r="A52" t="s">
        <v>57</v>
      </c>
      <c r="B52" s="76" t="s">
        <v>252</v>
      </c>
      <c r="C52" s="99">
        <v>1.2770127701276999E-2</v>
      </c>
      <c r="D52" s="91">
        <f t="shared" si="6"/>
        <v>1.2770129999999999E-2</v>
      </c>
      <c r="E52" s="25">
        <f>C52*'Totals and MOU%s'!$C$26</f>
        <v>1215548.7950156946</v>
      </c>
      <c r="F52" s="30">
        <f>N52*'Totals and MOU%s'!$C$26</f>
        <v>1215546.1582171703</v>
      </c>
      <c r="G52" s="75">
        <f t="shared" si="4"/>
        <v>2.6367985242977738</v>
      </c>
      <c r="H52" s="25">
        <f>C52*'Totals and MOU%s'!$D$26</f>
        <v>279392.2748334675</v>
      </c>
      <c r="I52" s="30">
        <f>N52*'Totals and MOU%s'!$D$26</f>
        <v>279391.66876883147</v>
      </c>
      <c r="J52" s="75">
        <f t="shared" si="5"/>
        <v>0.60606463602744043</v>
      </c>
      <c r="K52" s="73">
        <f>C52*'Totals and MOU%s'!$E$26</f>
        <v>548145.05894469272</v>
      </c>
      <c r="L52" s="73">
        <f t="shared" si="7"/>
        <v>3538027.1986430166</v>
      </c>
      <c r="M52" s="100" t="e">
        <f>_xlfn.XLOOKUP(B52,#REF!,#REF!)</f>
        <v>#REF!</v>
      </c>
      <c r="N52" s="100">
        <v>1.27701E-2</v>
      </c>
      <c r="O52" s="92" t="str">
        <f t="shared" si="8"/>
        <v>Difference</v>
      </c>
      <c r="P52" s="91">
        <f t="shared" si="9"/>
        <v>-2.9999999999821836E-8</v>
      </c>
    </row>
    <row r="53" spans="1:16" x14ac:dyDescent="0.25">
      <c r="A53" t="s">
        <v>58</v>
      </c>
      <c r="B53" s="76" t="s">
        <v>58</v>
      </c>
      <c r="C53" s="99">
        <v>5.2400524005239996E-3</v>
      </c>
      <c r="D53" s="91">
        <f t="shared" si="6"/>
        <v>5.2400499999999996E-3</v>
      </c>
      <c r="E53" s="25">
        <f>C53*'Totals and MOU%s'!$C$26</f>
        <v>498784.31369477208</v>
      </c>
      <c r="F53" s="30">
        <f>N53*'Totals and MOU%s'!$C$26</f>
        <v>498784.08519634791</v>
      </c>
      <c r="G53" s="75">
        <f t="shared" si="4"/>
        <v>0.22849842417053878</v>
      </c>
      <c r="H53" s="25">
        <f>C53*'Totals and MOU%s'!$D$26</f>
        <v>114644.91152132886</v>
      </c>
      <c r="I53" s="30">
        <f>N53*'Totals and MOU%s'!$D$26</f>
        <v>114644.8590012698</v>
      </c>
      <c r="J53" s="75">
        <f t="shared" si="5"/>
        <v>5.2520059063681401E-2</v>
      </c>
      <c r="K53" s="73">
        <f>C53*'Totals and MOU%s'!$E$26</f>
        <v>224924.04924590365</v>
      </c>
      <c r="L53" s="73">
        <f t="shared" si="7"/>
        <v>1451782.4996781056</v>
      </c>
      <c r="M53" s="100" t="e">
        <f>_xlfn.XLOOKUP(B53,#REF!,#REF!)</f>
        <v>#REF!</v>
      </c>
      <c r="N53" s="100">
        <v>5.2400499999999996E-3</v>
      </c>
      <c r="O53" s="92" t="str">
        <f t="shared" si="8"/>
        <v>Allocation Match</v>
      </c>
      <c r="P53" s="91">
        <f t="shared" si="9"/>
        <v>0</v>
      </c>
    </row>
    <row r="54" spans="1:16" x14ac:dyDescent="0.25">
      <c r="A54" t="s">
        <v>59</v>
      </c>
      <c r="B54" s="76" t="s">
        <v>59</v>
      </c>
      <c r="C54" s="99">
        <v>1.3900139001390001E-3</v>
      </c>
      <c r="D54" s="91">
        <f t="shared" si="6"/>
        <v>1.3900099999999999E-3</v>
      </c>
      <c r="E54" s="25">
        <f>C54*'Totals and MOU%s'!$C$26</f>
        <v>132311.10611368954</v>
      </c>
      <c r="F54" s="30">
        <f>N54*'Totals and MOU%s'!$C$26</f>
        <v>132310.73487157098</v>
      </c>
      <c r="G54" s="75">
        <f t="shared" si="4"/>
        <v>0.37124211856280454</v>
      </c>
      <c r="H54" s="25">
        <f>C54*'Totals and MOU%s'!$D$26</f>
        <v>30411.531873024265</v>
      </c>
      <c r="I54" s="30">
        <f>N54*'Totals and MOU%s'!$D$26</f>
        <v>30411.446543516766</v>
      </c>
      <c r="J54" s="75">
        <f t="shared" si="5"/>
        <v>8.5329507499409374E-2</v>
      </c>
      <c r="K54" s="73">
        <f>C54*'Totals and MOU%s'!$E$26</f>
        <v>59664.967261795056</v>
      </c>
      <c r="L54" s="73">
        <f t="shared" si="7"/>
        <v>385110.24323522265</v>
      </c>
      <c r="M54" s="100" t="e">
        <f>_xlfn.XLOOKUP(B54,#REF!,#REF!)</f>
        <v>#REF!</v>
      </c>
      <c r="N54" s="100">
        <v>1.3900099999999999E-3</v>
      </c>
      <c r="O54" s="92" t="str">
        <f t="shared" si="8"/>
        <v>Allocation Match</v>
      </c>
      <c r="P54" s="91">
        <f t="shared" si="9"/>
        <v>0</v>
      </c>
    </row>
    <row r="55" spans="1:16" x14ac:dyDescent="0.25">
      <c r="A55" t="s">
        <v>60</v>
      </c>
      <c r="B55" s="76" t="s">
        <v>253</v>
      </c>
      <c r="C55" s="99">
        <v>4.0900409004089996E-3</v>
      </c>
      <c r="D55" s="91">
        <f t="shared" si="6"/>
        <v>4.0900399999999996E-3</v>
      </c>
      <c r="E55" s="25">
        <f>C55*'Totals and MOU%s'!$C$26</f>
        <v>389318.29065107205</v>
      </c>
      <c r="F55" s="30">
        <f>N55*'Totals and MOU%s'!$C$26</f>
        <v>389318.20494393579</v>
      </c>
      <c r="G55" s="75">
        <f t="shared" si="4"/>
        <v>8.5707136255223304E-2</v>
      </c>
      <c r="H55" s="25">
        <f>C55*'Totals and MOU%s'!$D$26</f>
        <v>89484.291626380727</v>
      </c>
      <c r="I55" s="30">
        <f>N55*'Totals and MOU%s'!$D$26</f>
        <v>89484.271926709393</v>
      </c>
      <c r="J55" s="75">
        <f t="shared" si="5"/>
        <v>1.9699671334819868E-2</v>
      </c>
      <c r="K55" s="73">
        <f>C55*'Totals and MOU%s'!$E$26</f>
        <v>175560.94683506602</v>
      </c>
      <c r="L55" s="73">
        <f t="shared" si="7"/>
        <v>1133166.1113899716</v>
      </c>
      <c r="M55" s="100" t="e">
        <f>_xlfn.XLOOKUP(B55,#REF!,#REF!)</f>
        <v>#REF!</v>
      </c>
      <c r="N55" s="100">
        <v>4.0900399999999996E-3</v>
      </c>
      <c r="O55" s="92" t="str">
        <f t="shared" si="8"/>
        <v>Allocation Match</v>
      </c>
      <c r="P55" s="91">
        <f t="shared" si="9"/>
        <v>0</v>
      </c>
    </row>
    <row r="56" spans="1:16" x14ac:dyDescent="0.25">
      <c r="A56" t="s">
        <v>61</v>
      </c>
      <c r="B56" s="76" t="s">
        <v>254</v>
      </c>
      <c r="C56" s="99">
        <v>4.2400424004239998E-3</v>
      </c>
      <c r="D56" s="91">
        <f t="shared" si="6"/>
        <v>4.2400399999999996E-3</v>
      </c>
      <c r="E56" s="25">
        <f>C56*'Totals and MOU%s'!$C$26</f>
        <v>403596.46756981558</v>
      </c>
      <c r="F56" s="30">
        <f>N56*'Totals and MOU%s'!$C$26</f>
        <v>403596.23908091011</v>
      </c>
      <c r="G56" s="75">
        <f t="shared" si="4"/>
        <v>0.2284889054717496</v>
      </c>
      <c r="H56" s="25">
        <f>C56*'Totals and MOU%s'!$D$26</f>
        <v>92766.111612678316</v>
      </c>
      <c r="I56" s="30">
        <f>N56*'Totals and MOU%s'!$D$26</f>
        <v>92766.059094807104</v>
      </c>
      <c r="J56" s="75">
        <f t="shared" si="5"/>
        <v>5.2517871212330647E-2</v>
      </c>
      <c r="K56" s="73">
        <f>C56*'Totals and MOU%s'!$E$26</f>
        <v>181999.6123669144</v>
      </c>
      <c r="L56" s="73">
        <f t="shared" si="7"/>
        <v>1174724.7707319022</v>
      </c>
      <c r="M56" s="100" t="e">
        <f>_xlfn.XLOOKUP(B56,#REF!,#REF!)</f>
        <v>#REF!</v>
      </c>
      <c r="N56" s="100">
        <v>4.2400399999999996E-3</v>
      </c>
      <c r="O56" s="92" t="str">
        <f t="shared" si="8"/>
        <v>Allocation Match</v>
      </c>
      <c r="P56" s="91">
        <f t="shared" si="9"/>
        <v>0</v>
      </c>
    </row>
    <row r="57" spans="1:16" x14ac:dyDescent="0.25">
      <c r="A57" t="s">
        <v>62</v>
      </c>
      <c r="B57" s="76" t="s">
        <v>255</v>
      </c>
      <c r="C57" s="99">
        <v>2.2500225002249998E-3</v>
      </c>
      <c r="D57" s="91">
        <f t="shared" si="6"/>
        <v>2.2500200000000001E-3</v>
      </c>
      <c r="E57" s="25">
        <f>C57*'Totals and MOU%s'!$C$26</f>
        <v>214172.65378115213</v>
      </c>
      <c r="F57" s="30">
        <f>N57*'Totals and MOU%s'!$C$26</f>
        <v>214172.41579249949</v>
      </c>
      <c r="G57" s="75">
        <f t="shared" si="4"/>
        <v>0.23798865263233893</v>
      </c>
      <c r="H57" s="25">
        <f>C57*'Totals and MOU%s'!$D$26</f>
        <v>49227.299794463732</v>
      </c>
      <c r="I57" s="30">
        <f>N57*'Totals and MOU%s'!$D$26</f>
        <v>49227.245093088255</v>
      </c>
      <c r="J57" s="75">
        <f t="shared" si="5"/>
        <v>5.4701375476724934E-2</v>
      </c>
      <c r="K57" s="73">
        <f>C57*'Totals and MOU%s'!$E$26</f>
        <v>96579.982977725798</v>
      </c>
      <c r="L57" s="73">
        <f t="shared" si="7"/>
        <v>623379.89012895757</v>
      </c>
      <c r="M57" s="100" t="e">
        <f>_xlfn.XLOOKUP(B57,#REF!,#REF!)</f>
        <v>#REF!</v>
      </c>
      <c r="N57" s="100">
        <v>2.2500200000000001E-3</v>
      </c>
      <c r="O57" s="92" t="str">
        <f t="shared" si="8"/>
        <v>Allocation Match</v>
      </c>
      <c r="P57" s="91">
        <f t="shared" si="9"/>
        <v>0</v>
      </c>
    </row>
    <row r="58" spans="1:16" x14ac:dyDescent="0.25">
      <c r="A58" t="s">
        <v>63</v>
      </c>
      <c r="B58" s="76" t="s">
        <v>256</v>
      </c>
      <c r="C58" s="99">
        <v>2.2400224002240001E-3</v>
      </c>
      <c r="D58" s="91">
        <f t="shared" si="6"/>
        <v>2.2400200000000001E-3</v>
      </c>
      <c r="E58" s="25">
        <f>C58*'Totals and MOU%s'!$C$26</f>
        <v>213220.77531990258</v>
      </c>
      <c r="F58" s="30">
        <f>N58*'Totals and MOU%s'!$C$26</f>
        <v>213220.54685003453</v>
      </c>
      <c r="G58" s="75">
        <f t="shared" si="4"/>
        <v>0.22846986804506741</v>
      </c>
      <c r="H58" s="25">
        <f>C58*'Totals and MOU%s'!$D$26</f>
        <v>49008.511795377228</v>
      </c>
      <c r="I58" s="30">
        <f>N58*'Totals and MOU%s'!$D$26</f>
        <v>49008.45928188174</v>
      </c>
      <c r="J58" s="75">
        <f t="shared" si="5"/>
        <v>5.2513495487801265E-2</v>
      </c>
      <c r="K58" s="73">
        <f>C58*'Totals and MOU%s'!$E$26</f>
        <v>96150.738608935921</v>
      </c>
      <c r="L58" s="73">
        <f t="shared" si="7"/>
        <v>620609.31283949548</v>
      </c>
      <c r="M58" s="100" t="e">
        <f>_xlfn.XLOOKUP(B58,#REF!,#REF!)</f>
        <v>#REF!</v>
      </c>
      <c r="N58" s="100">
        <v>2.2400200000000001E-3</v>
      </c>
      <c r="O58" s="92" t="str">
        <f t="shared" si="8"/>
        <v>Allocation Match</v>
      </c>
      <c r="P58" s="91">
        <f t="shared" si="9"/>
        <v>0</v>
      </c>
    </row>
    <row r="59" spans="1:16" x14ac:dyDescent="0.25">
      <c r="A59" t="s">
        <v>64</v>
      </c>
      <c r="B59" s="76" t="s">
        <v>257</v>
      </c>
      <c r="C59" s="99">
        <v>1.7800178001780001E-3</v>
      </c>
      <c r="D59" s="91">
        <f t="shared" si="6"/>
        <v>1.78002E-3</v>
      </c>
      <c r="E59" s="25">
        <f>C59*'Totals and MOU%s'!$C$26</f>
        <v>169434.36610242259</v>
      </c>
      <c r="F59" s="30">
        <f>N59*'Totals and MOU%s'!$C$26</f>
        <v>169434.57549664666</v>
      </c>
      <c r="G59" s="75">
        <f t="shared" si="4"/>
        <v>-0.20939422407536767</v>
      </c>
      <c r="H59" s="25">
        <f>C59*'Totals and MOU%s'!$D$26</f>
        <v>38944.263837397979</v>
      </c>
      <c r="I59" s="30">
        <f>N59*'Totals and MOU%s'!$D$26</f>
        <v>38944.311966382054</v>
      </c>
      <c r="J59" s="75">
        <f t="shared" si="5"/>
        <v>-4.8128984075447079E-2</v>
      </c>
      <c r="K59" s="73">
        <f>C59*'Totals and MOU%s'!$E$26</f>
        <v>76405.497644600866</v>
      </c>
      <c r="L59" s="73">
        <f t="shared" si="7"/>
        <v>493162.75752424198</v>
      </c>
      <c r="M59" s="100" t="e">
        <f>_xlfn.XLOOKUP(B59,#REF!,#REF!)</f>
        <v>#REF!</v>
      </c>
      <c r="N59" s="100">
        <v>1.78002E-3</v>
      </c>
      <c r="O59" s="92" t="str">
        <f t="shared" si="8"/>
        <v>Allocation Match</v>
      </c>
      <c r="P59" s="91">
        <f t="shared" si="9"/>
        <v>0</v>
      </c>
    </row>
    <row r="60" spans="1:16" x14ac:dyDescent="0.25">
      <c r="A60" t="s">
        <v>65</v>
      </c>
      <c r="B60" s="76" t="s">
        <v>258</v>
      </c>
      <c r="C60" s="99">
        <v>1.2400124001240001E-3</v>
      </c>
      <c r="D60" s="91">
        <f t="shared" si="6"/>
        <v>1.2400099999999999E-3</v>
      </c>
      <c r="E60" s="25">
        <f>C60*'Totals and MOU%s'!$C$26</f>
        <v>118032.92919494607</v>
      </c>
      <c r="F60" s="30">
        <f>N60*'Totals and MOU%s'!$C$26</f>
        <v>118032.7007345967</v>
      </c>
      <c r="G60" s="75">
        <f t="shared" si="4"/>
        <v>0.22846034937538207</v>
      </c>
      <c r="H60" s="25">
        <f>C60*'Totals and MOU%s'!$D$26</f>
        <v>27129.711886726684</v>
      </c>
      <c r="I60" s="30">
        <f>N60*'Totals and MOU%s'!$D$26</f>
        <v>27129.659375419043</v>
      </c>
      <c r="J60" s="75">
        <f t="shared" si="5"/>
        <v>5.2511307640088489E-2</v>
      </c>
      <c r="K60" s="73">
        <f>C60*'Totals and MOU%s'!$E$26</f>
        <v>53226.301729946674</v>
      </c>
      <c r="L60" s="73">
        <f t="shared" si="7"/>
        <v>343551.58389329218</v>
      </c>
      <c r="M60" s="100" t="e">
        <f>_xlfn.XLOOKUP(B60,#REF!,#REF!)</f>
        <v>#REF!</v>
      </c>
      <c r="N60" s="100">
        <v>1.2400099999999999E-3</v>
      </c>
      <c r="O60" s="92" t="str">
        <f t="shared" si="8"/>
        <v>Allocation Match</v>
      </c>
      <c r="P60" s="91">
        <f t="shared" si="9"/>
        <v>0</v>
      </c>
    </row>
    <row r="61" spans="1:16" x14ac:dyDescent="0.25">
      <c r="A61" t="s">
        <v>66</v>
      </c>
      <c r="B61" s="76" t="s">
        <v>259</v>
      </c>
      <c r="C61" s="99">
        <v>3.5300353003529998E-3</v>
      </c>
      <c r="D61" s="91">
        <f t="shared" si="6"/>
        <v>3.5300399999999999E-3</v>
      </c>
      <c r="E61" s="25">
        <f>C61*'Totals and MOU%s'!$C$26</f>
        <v>336013.09682109643</v>
      </c>
      <c r="F61" s="30">
        <f>N61*'Totals and MOU%s'!$C$26</f>
        <v>336013.54416589846</v>
      </c>
      <c r="G61" s="75">
        <f t="shared" si="4"/>
        <v>-0.4473448020289652</v>
      </c>
      <c r="H61" s="25">
        <f>C61*'Totals and MOU%s'!$D$26</f>
        <v>77232.163677536431</v>
      </c>
      <c r="I61" s="30">
        <f>N61*'Totals and MOU%s'!$D$26</f>
        <v>77232.266499144564</v>
      </c>
      <c r="J61" s="75">
        <f t="shared" si="5"/>
        <v>-0.10282160813221708</v>
      </c>
      <c r="K61" s="73">
        <f>C61*'Totals and MOU%s'!$E$26</f>
        <v>151523.26218283206</v>
      </c>
      <c r="L61" s="73">
        <f t="shared" si="7"/>
        <v>978013.78318009758</v>
      </c>
      <c r="M61" s="100" t="e">
        <f>_xlfn.XLOOKUP(B61,#REF!,#REF!)</f>
        <v>#REF!</v>
      </c>
      <c r="N61" s="100">
        <v>3.5300399999999999E-3</v>
      </c>
      <c r="O61" s="92" t="str">
        <f t="shared" si="8"/>
        <v>Allocation Match</v>
      </c>
      <c r="P61" s="91">
        <f t="shared" si="9"/>
        <v>0</v>
      </c>
    </row>
    <row r="62" spans="1:16" x14ac:dyDescent="0.25">
      <c r="A62" t="s">
        <v>67</v>
      </c>
      <c r="B62" s="76" t="s">
        <v>67</v>
      </c>
      <c r="C62" s="99">
        <v>1.5380153801538E-2</v>
      </c>
      <c r="D62" s="91">
        <f t="shared" si="6"/>
        <v>1.538015E-2</v>
      </c>
      <c r="E62" s="25">
        <f>C62*'Totals and MOU%s'!$C$26</f>
        <v>1463989.0734018311</v>
      </c>
      <c r="F62" s="30">
        <f>N62*'Totals and MOU%s'!$C$26</f>
        <v>1463993.4708899478</v>
      </c>
      <c r="G62" s="75">
        <f t="shared" si="4"/>
        <v>-4.3974881167523563</v>
      </c>
      <c r="H62" s="25">
        <f>C62*'Totals and MOU%s'!$D$26</f>
        <v>336495.94259504543</v>
      </c>
      <c r="I62" s="30">
        <f>N62*'Totals and MOU%s'!$D$26</f>
        <v>336496.95335184393</v>
      </c>
      <c r="J62" s="75">
        <f t="shared" si="5"/>
        <v>-1.0107567984960042</v>
      </c>
      <c r="K62" s="73">
        <f>C62*'Totals and MOU%s'!$E$26</f>
        <v>660177.83919885464</v>
      </c>
      <c r="L62" s="73">
        <f t="shared" si="7"/>
        <v>4261147.871192608</v>
      </c>
      <c r="M62" s="100" t="e">
        <f>_xlfn.XLOOKUP(B62,#REF!,#REF!)</f>
        <v>#REF!</v>
      </c>
      <c r="N62" s="100">
        <v>1.53802E-2</v>
      </c>
      <c r="O62" s="92" t="str">
        <f t="shared" si="8"/>
        <v>Difference</v>
      </c>
      <c r="P62" s="91">
        <f t="shared" si="9"/>
        <v>4.999999999970306E-8</v>
      </c>
    </row>
    <row r="63" spans="1:16" x14ac:dyDescent="0.25">
      <c r="A63" t="s">
        <v>68</v>
      </c>
      <c r="B63" s="76" t="s">
        <v>260</v>
      </c>
      <c r="C63" s="99">
        <v>1.0790107901079E-2</v>
      </c>
      <c r="D63" s="91">
        <f t="shared" si="6"/>
        <v>1.079011E-2</v>
      </c>
      <c r="E63" s="25">
        <f>C63*'Totals and MOU%s'!$C$26</f>
        <v>1027076.8596882807</v>
      </c>
      <c r="F63" s="30">
        <f>N63*'Totals and MOU%s'!$C$26</f>
        <v>1027076.1076091095</v>
      </c>
      <c r="G63" s="75">
        <f t="shared" si="4"/>
        <v>0.75207917124498636</v>
      </c>
      <c r="H63" s="25">
        <f>C63*'Totals and MOU%s'!$D$26</f>
        <v>236072.25101433942</v>
      </c>
      <c r="I63" s="30">
        <f>N63*'Totals and MOU%s'!$D$26</f>
        <v>236072.07814994158</v>
      </c>
      <c r="J63" s="75">
        <f t="shared" si="5"/>
        <v>0.1728643978422042</v>
      </c>
      <c r="K63" s="73">
        <f>C63*'Totals and MOU%s'!$E$26</f>
        <v>463154.67392429401</v>
      </c>
      <c r="L63" s="73">
        <f t="shared" si="7"/>
        <v>2989452.8953295341</v>
      </c>
      <c r="M63" s="100" t="e">
        <f>_xlfn.XLOOKUP(B63,#REF!,#REF!)</f>
        <v>#REF!</v>
      </c>
      <c r="N63" s="100">
        <v>1.07901E-2</v>
      </c>
      <c r="O63" s="92" t="str">
        <f t="shared" si="8"/>
        <v>Difference</v>
      </c>
      <c r="P63" s="91">
        <f t="shared" si="9"/>
        <v>-9.9999999999406119E-9</v>
      </c>
    </row>
    <row r="64" spans="1:16" x14ac:dyDescent="0.25">
      <c r="A64" t="s">
        <v>69</v>
      </c>
      <c r="B64" s="76" t="s">
        <v>69</v>
      </c>
      <c r="C64" s="99">
        <v>5.2300523005230099E-3</v>
      </c>
      <c r="D64" s="91">
        <f t="shared" si="6"/>
        <v>5.23005E-3</v>
      </c>
      <c r="E64" s="25">
        <f>C64*'Totals and MOU%s'!$C$26</f>
        <v>497832.43523352349</v>
      </c>
      <c r="F64" s="30">
        <f>N64*'Totals and MOU%s'!$C$26</f>
        <v>497832.21625388303</v>
      </c>
      <c r="G64" s="75">
        <f t="shared" si="4"/>
        <v>0.21897964045638219</v>
      </c>
      <c r="H64" s="25">
        <f>C64*'Totals and MOU%s'!$D$26</f>
        <v>114426.12352224259</v>
      </c>
      <c r="I64" s="30">
        <f>N64*'Totals and MOU%s'!$D$26</f>
        <v>114426.0731900633</v>
      </c>
      <c r="J64" s="75">
        <f t="shared" si="5"/>
        <v>5.0332179293036461E-2</v>
      </c>
      <c r="K64" s="73">
        <f>C64*'Totals and MOU%s'!$E$26</f>
        <v>224494.80487711419</v>
      </c>
      <c r="L64" s="73">
        <f t="shared" si="7"/>
        <v>1449011.9223886463</v>
      </c>
      <c r="M64" s="100" t="e">
        <f>_xlfn.XLOOKUP(B64,#REF!,#REF!)</f>
        <v>#REF!</v>
      </c>
      <c r="N64" s="100">
        <v>5.23005E-3</v>
      </c>
      <c r="O64" s="92" t="str">
        <f t="shared" si="8"/>
        <v>Allocation Match</v>
      </c>
      <c r="P64" s="91">
        <f t="shared" si="9"/>
        <v>0</v>
      </c>
    </row>
    <row r="65" spans="1:17" x14ac:dyDescent="0.25">
      <c r="A65" t="s">
        <v>70</v>
      </c>
      <c r="B65" s="76" t="s">
        <v>261</v>
      </c>
      <c r="C65" s="99">
        <v>4.4730447304473002E-2</v>
      </c>
      <c r="D65" s="91">
        <f t="shared" si="6"/>
        <v>4.4730449999999998E-2</v>
      </c>
      <c r="E65" s="25">
        <f>C65*'Totals and MOU%s'!$C$26</f>
        <v>4257752.357169305</v>
      </c>
      <c r="F65" s="30">
        <f>N65*'Totals and MOU%s'!$C$26</f>
        <v>4257747.8544034353</v>
      </c>
      <c r="G65" s="75">
        <f t="shared" si="4"/>
        <v>4.5027658697217703</v>
      </c>
      <c r="H65" s="25">
        <f>C65*'Totals and MOU%s'!$D$26</f>
        <v>978638.71991393901</v>
      </c>
      <c r="I65" s="30">
        <f>N65*'Totals and MOU%s'!$D$26</f>
        <v>978637.68495918903</v>
      </c>
      <c r="J65" s="75">
        <f t="shared" si="5"/>
        <v>1.0349547499790788</v>
      </c>
      <c r="K65" s="73">
        <f>C65*'Totals and MOU%s'!$E$26</f>
        <v>1920010.0615971892</v>
      </c>
      <c r="L65" s="73">
        <f t="shared" si="7"/>
        <v>12392792.215763675</v>
      </c>
      <c r="M65" s="100" t="e">
        <f>_xlfn.XLOOKUP(B65,#REF!,#REF!)</f>
        <v>#REF!</v>
      </c>
      <c r="N65" s="100">
        <v>4.4730399999999997E-2</v>
      </c>
      <c r="O65" s="92" t="str">
        <f t="shared" si="8"/>
        <v>Difference</v>
      </c>
      <c r="P65" s="91">
        <f t="shared" si="9"/>
        <v>-5.0000000001437783E-8</v>
      </c>
    </row>
    <row r="66" spans="1:17" x14ac:dyDescent="0.25">
      <c r="A66" t="s">
        <v>71</v>
      </c>
      <c r="B66" s="76" t="s">
        <v>262</v>
      </c>
      <c r="C66" s="99">
        <v>1.2200122001220001E-2</v>
      </c>
      <c r="D66" s="91">
        <f t="shared" si="6"/>
        <v>1.220012E-2</v>
      </c>
      <c r="E66" s="25">
        <f>C66*'Totals and MOU%s'!$C$26</f>
        <v>1161291.7227244694</v>
      </c>
      <c r="F66" s="30">
        <f>N66*'Totals and MOU%s'!$C$26</f>
        <v>1161289.6284966678</v>
      </c>
      <c r="G66" s="75">
        <f t="shared" si="4"/>
        <v>2.0942278015427291</v>
      </c>
      <c r="H66" s="25">
        <f>C66*'Totals and MOU%s'!$D$26</f>
        <v>266921.35888553673</v>
      </c>
      <c r="I66" s="30">
        <f>N66*'Totals and MOU%s'!$D$26</f>
        <v>266920.87753006018</v>
      </c>
      <c r="J66" s="75">
        <f t="shared" si="5"/>
        <v>0.48135547654237598</v>
      </c>
      <c r="K66" s="73">
        <f>C66*'Totals and MOU%s'!$E$26</f>
        <v>523678.12992366886</v>
      </c>
      <c r="L66" s="73">
        <f t="shared" si="7"/>
        <v>3380104.2931436813</v>
      </c>
      <c r="M66" s="100" t="e">
        <f>_xlfn.XLOOKUP(B66,#REF!,#REF!)</f>
        <v>#REF!</v>
      </c>
      <c r="N66" s="100">
        <v>1.22001E-2</v>
      </c>
      <c r="O66" s="92" t="str">
        <f t="shared" si="8"/>
        <v>Difference</v>
      </c>
      <c r="P66" s="91">
        <f t="shared" si="9"/>
        <v>-1.9999999999881224E-8</v>
      </c>
    </row>
    <row r="67" spans="1:17" x14ac:dyDescent="0.25">
      <c r="A67" t="s">
        <v>72</v>
      </c>
      <c r="B67" s="76" t="s">
        <v>263</v>
      </c>
      <c r="C67" s="99">
        <v>2.30002300023E-4</v>
      </c>
      <c r="D67" s="91">
        <f t="shared" si="6"/>
        <v>2.3000000000000001E-4</v>
      </c>
      <c r="E67" s="25">
        <f>C67*'Totals and MOU%s'!$C$26</f>
        <v>21893.204608739998</v>
      </c>
      <c r="F67" s="30">
        <f>N67*'Totals and MOU%s'!$C$26</f>
        <v>21893.176050482423</v>
      </c>
      <c r="G67" s="75">
        <f t="shared" si="4"/>
        <v>2.8558257574331947E-2</v>
      </c>
      <c r="H67" s="25">
        <f>C67*'Totals and MOU%s'!$D$26</f>
        <v>5032.1239789896263</v>
      </c>
      <c r="I67" s="30">
        <f>N67*'Totals and MOU%s'!$D$26</f>
        <v>5032.1174149120825</v>
      </c>
      <c r="J67" s="75">
        <f t="shared" si="5"/>
        <v>6.5640775437714183E-3</v>
      </c>
      <c r="K67" s="73">
        <f>C67*'Totals and MOU%s'!$E$26</f>
        <v>9872.6204821675274</v>
      </c>
      <c r="L67" s="73">
        <f t="shared" si="7"/>
        <v>63723.277657626779</v>
      </c>
      <c r="M67" s="100" t="e">
        <f>_xlfn.XLOOKUP(B67,#REF!,#REF!)</f>
        <v>#REF!</v>
      </c>
      <c r="N67" s="100">
        <v>2.3000200000000001E-4</v>
      </c>
      <c r="O67" s="92" t="str">
        <f t="shared" si="8"/>
        <v>Difference</v>
      </c>
      <c r="P67" s="91">
        <f t="shared" si="9"/>
        <v>2.0000000000043854E-9</v>
      </c>
    </row>
    <row r="68" spans="1:17" x14ac:dyDescent="0.25">
      <c r="A68" t="s">
        <v>73</v>
      </c>
      <c r="B68" s="76" t="s">
        <v>73</v>
      </c>
      <c r="C68" s="99">
        <v>3.4400344003439999E-3</v>
      </c>
      <c r="D68" s="91">
        <f t="shared" si="6"/>
        <v>3.4400300000000002E-3</v>
      </c>
      <c r="E68" s="25">
        <f>C68*'Totals and MOU%s'!$C$26</f>
        <v>327446.19066985039</v>
      </c>
      <c r="F68" s="30">
        <f>N68*'Totals and MOU%s'!$C$26</f>
        <v>327445.7718147714</v>
      </c>
      <c r="G68" s="75">
        <f t="shared" si="4"/>
        <v>0.41885507898405194</v>
      </c>
      <c r="H68" s="25">
        <f>C68*'Totals and MOU%s'!$D$26</f>
        <v>75263.071685757881</v>
      </c>
      <c r="I68" s="30">
        <f>N68*'Totals and MOU%s'!$D$26</f>
        <v>75262.975412474727</v>
      </c>
      <c r="J68" s="75">
        <f t="shared" si="5"/>
        <v>9.6273283154005185E-2</v>
      </c>
      <c r="K68" s="73">
        <f>C68*'Totals and MOU%s'!$E$26</f>
        <v>147660.06286372303</v>
      </c>
      <c r="L68" s="73">
        <f t="shared" si="7"/>
        <v>953078.58757493948</v>
      </c>
      <c r="M68" s="100" t="e">
        <f>_xlfn.XLOOKUP(B68,#REF!,#REF!)</f>
        <v>#REF!</v>
      </c>
      <c r="N68" s="100">
        <v>3.4400300000000002E-3</v>
      </c>
      <c r="O68" s="92" t="str">
        <f t="shared" si="8"/>
        <v>Allocation Match</v>
      </c>
      <c r="P68" s="91">
        <f t="shared" si="9"/>
        <v>0</v>
      </c>
    </row>
    <row r="69" spans="1:17" x14ac:dyDescent="0.25">
      <c r="A69" t="s">
        <v>74</v>
      </c>
      <c r="B69" s="76" t="s">
        <v>264</v>
      </c>
      <c r="C69" s="99">
        <v>3.5600356003560002E-3</v>
      </c>
      <c r="D69" s="91">
        <f t="shared" si="6"/>
        <v>3.56004E-3</v>
      </c>
      <c r="E69" s="25">
        <f>C69*'Totals and MOU%s'!$C$26</f>
        <v>338868.73220484518</v>
      </c>
      <c r="F69" s="30">
        <f>N69*'Totals and MOU%s'!$C$26</f>
        <v>338869.15099329333</v>
      </c>
      <c r="G69" s="75">
        <f t="shared" si="4"/>
        <v>-0.41878844815073535</v>
      </c>
      <c r="H69" s="25">
        <f>C69*'Totals and MOU%s'!$D$26</f>
        <v>77888.527674795958</v>
      </c>
      <c r="I69" s="30">
        <f>N69*'Totals and MOU%s'!$D$26</f>
        <v>77888.623932764109</v>
      </c>
      <c r="J69" s="75">
        <f t="shared" si="5"/>
        <v>-9.6257968150894158E-2</v>
      </c>
      <c r="K69" s="73">
        <f>C69*'Totals and MOU%s'!$E$26</f>
        <v>152810.99528920173</v>
      </c>
      <c r="L69" s="73">
        <f t="shared" si="7"/>
        <v>986325.51504848397</v>
      </c>
      <c r="M69" s="100" t="e">
        <f>_xlfn.XLOOKUP(B69,#REF!,#REF!)</f>
        <v>#REF!</v>
      </c>
      <c r="N69" s="100">
        <v>3.56004E-3</v>
      </c>
      <c r="O69" s="92" t="str">
        <f t="shared" si="8"/>
        <v>Allocation Match</v>
      </c>
      <c r="P69" s="91">
        <f t="shared" si="9"/>
        <v>0</v>
      </c>
    </row>
    <row r="70" spans="1:17" x14ac:dyDescent="0.25">
      <c r="A70" t="s">
        <v>75</v>
      </c>
      <c r="B70" s="76" t="s">
        <v>265</v>
      </c>
      <c r="C70" s="99">
        <v>6.1200612006120101E-3</v>
      </c>
      <c r="D70" s="91">
        <f t="shared" si="6"/>
        <v>6.1200600000000001E-3</v>
      </c>
      <c r="E70" s="25">
        <f>C70*'Totals and MOU%s'!$C$26</f>
        <v>582549.61828473478</v>
      </c>
      <c r="F70" s="30">
        <f>N70*'Totals and MOU%s'!$C$26</f>
        <v>582549.50400220638</v>
      </c>
      <c r="G70" s="75">
        <f t="shared" si="4"/>
        <v>0.11428252840414643</v>
      </c>
      <c r="H70" s="25">
        <f>C70*'Totals and MOU%s'!$D$26</f>
        <v>133898.25544094158</v>
      </c>
      <c r="I70" s="30">
        <f>N70*'Totals and MOU%s'!$D$26</f>
        <v>133898.22917325431</v>
      </c>
      <c r="J70" s="75">
        <f t="shared" si="5"/>
        <v>2.6267687266226858E-2</v>
      </c>
      <c r="K70" s="73">
        <f>C70*'Totals and MOU%s'!$E$26</f>
        <v>262697.55369941465</v>
      </c>
      <c r="L70" s="73">
        <f t="shared" si="7"/>
        <v>1695593.3011507674</v>
      </c>
      <c r="M70" s="100" t="e">
        <f>_xlfn.XLOOKUP(B70,#REF!,#REF!)</f>
        <v>#REF!</v>
      </c>
      <c r="N70" s="100">
        <v>6.1200600000000001E-3</v>
      </c>
      <c r="O70" s="92" t="str">
        <f t="shared" si="8"/>
        <v>Allocation Match</v>
      </c>
      <c r="P70" s="91">
        <f t="shared" si="9"/>
        <v>0</v>
      </c>
    </row>
    <row r="71" spans="1:17" x14ac:dyDescent="0.25">
      <c r="A71" t="s">
        <v>78</v>
      </c>
      <c r="B71" s="76" t="s">
        <v>266</v>
      </c>
      <c r="C71" s="99">
        <v>7.2000720007200003E-4</v>
      </c>
      <c r="D71" s="91">
        <f t="shared" ref="D71:D102" si="10">ROUND(C71,8)</f>
        <v>7.2000999999999999E-4</v>
      </c>
      <c r="E71" s="25">
        <f>C71*'Totals and MOU%s'!$C$26</f>
        <v>68535.249209968693</v>
      </c>
      <c r="F71" s="30">
        <f>N71*'Totals and MOU%s'!$C$26</f>
        <v>68535.230165736386</v>
      </c>
      <c r="G71" s="75">
        <f t="shared" si="4"/>
        <v>1.9044232307351194E-2</v>
      </c>
      <c r="H71" s="25">
        <f>C71*'Totals and MOU%s'!$D$26</f>
        <v>15752.735934228396</v>
      </c>
      <c r="I71" s="30">
        <f>N71*'Totals and MOU%s'!$D$26</f>
        <v>15752.731556936913</v>
      </c>
      <c r="J71" s="75">
        <f t="shared" si="5"/>
        <v>4.3772914832516108E-3</v>
      </c>
      <c r="K71" s="73">
        <f>C71*'Totals and MOU%s'!$E$26</f>
        <v>30905.594552872262</v>
      </c>
      <c r="L71" s="73">
        <f t="shared" ref="L71:L102" si="11">SUM(E71:K71)</f>
        <v>199481.56484126646</v>
      </c>
      <c r="M71" s="100" t="e">
        <f>_xlfn.XLOOKUP(B71,#REF!,#REF!)</f>
        <v>#REF!</v>
      </c>
      <c r="N71" s="100">
        <v>7.2000700000000005E-4</v>
      </c>
      <c r="O71" s="92" t="str">
        <f t="shared" ref="O71:O102" si="12">IF(N71=D71,"Allocation Match","Difference")</f>
        <v>Difference</v>
      </c>
      <c r="P71" s="91">
        <f t="shared" ref="P71:P102" si="13">N71-D71</f>
        <v>-2.9999999999388155E-9</v>
      </c>
    </row>
    <row r="72" spans="1:17" x14ac:dyDescent="0.25">
      <c r="A72" t="s">
        <v>76</v>
      </c>
      <c r="B72" s="76" t="s">
        <v>267</v>
      </c>
      <c r="C72" s="99">
        <v>3.0600306003059998E-3</v>
      </c>
      <c r="D72" s="91">
        <f t="shared" si="10"/>
        <v>3.06003E-3</v>
      </c>
      <c r="E72" s="25">
        <f>C72*'Totals and MOU%s'!$C$26</f>
        <v>291274.80914236687</v>
      </c>
      <c r="F72" s="30">
        <f>N72*'Totals and MOU%s'!$C$26</f>
        <v>291274.75200110319</v>
      </c>
      <c r="G72" s="75">
        <f t="shared" ref="G72:G135" si="14">E72-F72</f>
        <v>5.7141263678204268E-2</v>
      </c>
      <c r="H72" s="25">
        <f>C72*'Totals and MOU%s'!$D$26</f>
        <v>66949.127720470671</v>
      </c>
      <c r="I72" s="30">
        <f>N72*'Totals and MOU%s'!$D$26</f>
        <v>66949.114586627154</v>
      </c>
      <c r="J72" s="75">
        <f t="shared" ref="J72:J135" si="15">H72-I72</f>
        <v>1.3133843516698107E-2</v>
      </c>
      <c r="K72" s="73">
        <f>C72*'Totals and MOU%s'!$E$26</f>
        <v>131348.77684970709</v>
      </c>
      <c r="L72" s="73">
        <f t="shared" si="11"/>
        <v>847796.65057538217</v>
      </c>
      <c r="M72" s="100" t="e">
        <f>_xlfn.XLOOKUP(B72,#REF!,#REF!)</f>
        <v>#REF!</v>
      </c>
      <c r="N72" s="100">
        <v>3.06003E-3</v>
      </c>
      <c r="O72" s="92" t="str">
        <f t="shared" si="12"/>
        <v>Allocation Match</v>
      </c>
      <c r="P72" s="91">
        <f t="shared" si="13"/>
        <v>0</v>
      </c>
    </row>
    <row r="73" spans="1:17" x14ac:dyDescent="0.25">
      <c r="A73" t="s">
        <v>77</v>
      </c>
      <c r="B73" s="76" t="s">
        <v>268</v>
      </c>
      <c r="C73" s="99">
        <v>1.7800178001780001E-3</v>
      </c>
      <c r="D73" s="91">
        <f t="shared" si="10"/>
        <v>1.78002E-3</v>
      </c>
      <c r="E73" s="25">
        <f>C73*'Totals and MOU%s'!$C$26</f>
        <v>169434.36610242259</v>
      </c>
      <c r="F73" s="30">
        <f>N73*'Totals and MOU%s'!$C$26</f>
        <v>169434.57549664666</v>
      </c>
      <c r="G73" s="75">
        <f t="shared" si="14"/>
        <v>-0.20939422407536767</v>
      </c>
      <c r="H73" s="25">
        <f>C73*'Totals and MOU%s'!$D$26</f>
        <v>38944.263837397979</v>
      </c>
      <c r="I73" s="30">
        <f>N73*'Totals and MOU%s'!$D$26</f>
        <v>38944.311966382054</v>
      </c>
      <c r="J73" s="75">
        <f t="shared" si="15"/>
        <v>-4.8128984075447079E-2</v>
      </c>
      <c r="K73" s="73">
        <f>C73*'Totals and MOU%s'!$E$26</f>
        <v>76405.497644600866</v>
      </c>
      <c r="L73" s="73">
        <f t="shared" si="11"/>
        <v>493162.75752424198</v>
      </c>
      <c r="M73" s="100" t="e">
        <f>_xlfn.XLOOKUP(B73,#REF!,#REF!)</f>
        <v>#REF!</v>
      </c>
      <c r="N73" s="100">
        <v>1.78002E-3</v>
      </c>
      <c r="O73" s="92" t="str">
        <f t="shared" si="12"/>
        <v>Allocation Match</v>
      </c>
      <c r="P73" s="91">
        <f t="shared" si="13"/>
        <v>0</v>
      </c>
    </row>
    <row r="74" spans="1:17" x14ac:dyDescent="0.25">
      <c r="A74" t="s">
        <v>79</v>
      </c>
      <c r="B74" s="76" t="s">
        <v>269</v>
      </c>
      <c r="C74" s="99">
        <v>1.350013500135E-3</v>
      </c>
      <c r="D74" s="91">
        <f t="shared" si="10"/>
        <v>1.35001E-3</v>
      </c>
      <c r="E74" s="25">
        <f>C74*'Totals and MOU%s'!$C$26</f>
        <v>128503.59226869128</v>
      </c>
      <c r="F74" s="30">
        <f>N74*'Totals and MOU%s'!$C$26</f>
        <v>128503.25910171118</v>
      </c>
      <c r="G74" s="75">
        <f t="shared" si="14"/>
        <v>0.33316698009730317</v>
      </c>
      <c r="H74" s="25">
        <f>C74*'Totals and MOU%s'!$D$26</f>
        <v>29536.379876678238</v>
      </c>
      <c r="I74" s="30">
        <f>N74*'Totals and MOU%s'!$D$26</f>
        <v>29536.303298690709</v>
      </c>
      <c r="J74" s="75">
        <f t="shared" si="15"/>
        <v>7.6577987529162783E-2</v>
      </c>
      <c r="K74" s="73">
        <f>C74*'Totals and MOU%s'!$E$26</f>
        <v>57947.989786635488</v>
      </c>
      <c r="L74" s="73">
        <f t="shared" si="11"/>
        <v>374027.93407737452</v>
      </c>
      <c r="M74" s="100" t="e">
        <f>_xlfn.XLOOKUP(B74,#REF!,#REF!)</f>
        <v>#REF!</v>
      </c>
      <c r="N74" s="100">
        <v>1.35001E-3</v>
      </c>
      <c r="O74" s="92" t="str">
        <f t="shared" si="12"/>
        <v>Allocation Match</v>
      </c>
      <c r="P74" s="91">
        <f t="shared" si="13"/>
        <v>0</v>
      </c>
    </row>
    <row r="75" spans="1:17" x14ac:dyDescent="0.25">
      <c r="A75" t="s">
        <v>80</v>
      </c>
      <c r="B75" s="76" t="s">
        <v>270</v>
      </c>
      <c r="C75" s="99">
        <v>5.5600556005560098E-3</v>
      </c>
      <c r="D75" s="91">
        <f t="shared" si="10"/>
        <v>5.5600600000000003E-3</v>
      </c>
      <c r="E75" s="25">
        <f>C75*'Totals and MOU%s'!$C$26</f>
        <v>529244.42445475911</v>
      </c>
      <c r="F75" s="30">
        <f>N75*'Totals and MOU%s'!$C$26</f>
        <v>529244.84322416899</v>
      </c>
      <c r="G75" s="75">
        <f t="shared" si="14"/>
        <v>-0.41876940988004208</v>
      </c>
      <c r="H75" s="25">
        <f>C75*'Totals and MOU%s'!$D$26</f>
        <v>121646.12749209726</v>
      </c>
      <c r="I75" s="30">
        <f>N75*'Totals and MOU%s'!$D$26</f>
        <v>121646.22374568949</v>
      </c>
      <c r="J75" s="75">
        <f t="shared" si="15"/>
        <v>-9.625359222991392E-2</v>
      </c>
      <c r="K75" s="73">
        <f>C75*'Totals and MOU%s'!$E$26</f>
        <v>238659.86904718066</v>
      </c>
      <c r="L75" s="73">
        <f t="shared" si="11"/>
        <v>1540440.9729408934</v>
      </c>
      <c r="M75" s="100" t="e">
        <f>_xlfn.XLOOKUP(B75,#REF!,#REF!)</f>
        <v>#REF!</v>
      </c>
      <c r="N75" s="100">
        <v>5.5600600000000003E-3</v>
      </c>
      <c r="O75" s="92" t="str">
        <f t="shared" si="12"/>
        <v>Allocation Match</v>
      </c>
      <c r="P75" s="91">
        <f t="shared" si="13"/>
        <v>0</v>
      </c>
    </row>
    <row r="76" spans="1:17" x14ac:dyDescent="0.25">
      <c r="A76" t="s">
        <v>81</v>
      </c>
      <c r="B76" s="76" t="s">
        <v>81</v>
      </c>
      <c r="C76" s="99">
        <v>9.3000930009300002E-4</v>
      </c>
      <c r="D76" s="91">
        <f t="shared" si="10"/>
        <v>9.3000999999999999E-4</v>
      </c>
      <c r="E76" s="25">
        <f>C76*'Totals and MOU%s'!$C$26</f>
        <v>88524.696896209556</v>
      </c>
      <c r="F76" s="30">
        <f>N76*'Totals and MOU%s'!$C$26</f>
        <v>88524.668331288893</v>
      </c>
      <c r="G76" s="75">
        <f t="shared" si="14"/>
        <v>2.8564920663484372E-2</v>
      </c>
      <c r="H76" s="25">
        <f>C76*'Totals and MOU%s'!$D$26</f>
        <v>20347.283915045009</v>
      </c>
      <c r="I76" s="30">
        <f>N76*'Totals and MOU%s'!$D$26</f>
        <v>20347.277349435964</v>
      </c>
      <c r="J76" s="75">
        <f t="shared" si="15"/>
        <v>6.5656090446282178E-3</v>
      </c>
      <c r="K76" s="73">
        <f>C76*'Totals and MOU%s'!$E$26</f>
        <v>39919.726297460002</v>
      </c>
      <c r="L76" s="73">
        <f t="shared" si="11"/>
        <v>257663.68791996912</v>
      </c>
      <c r="M76" s="100" t="e">
        <f>_xlfn.XLOOKUP(B76,#REF!,#REF!)</f>
        <v>#REF!</v>
      </c>
      <c r="N76" s="100">
        <v>9.3000899999999998E-4</v>
      </c>
      <c r="O76" s="92" t="str">
        <f t="shared" si="12"/>
        <v>Difference</v>
      </c>
      <c r="P76" s="91">
        <f t="shared" si="13"/>
        <v>-1.0000000000157452E-9</v>
      </c>
    </row>
    <row r="77" spans="1:17" x14ac:dyDescent="0.25">
      <c r="A77" t="s">
        <v>82</v>
      </c>
      <c r="B77" s="76" t="s">
        <v>271</v>
      </c>
      <c r="C77" s="99">
        <v>2.5670256702567E-2</v>
      </c>
      <c r="D77" s="91">
        <f t="shared" si="10"/>
        <v>2.567026E-2</v>
      </c>
      <c r="E77" s="25">
        <f>C77*'Totals and MOU%s'!$C$26</f>
        <v>2443472.0100276335</v>
      </c>
      <c r="F77" s="30">
        <f>N77*'Totals and MOU%s'!$C$26</f>
        <v>2443476.1313758097</v>
      </c>
      <c r="G77" s="75">
        <f t="shared" si="14"/>
        <v>-4.1213481761515141</v>
      </c>
      <c r="H77" s="25">
        <f>C77*'Totals and MOU%s'!$D$26</f>
        <v>561628.79365505953</v>
      </c>
      <c r="I77" s="30">
        <f>N77*'Totals and MOU%s'!$D$26</f>
        <v>561629.74094145978</v>
      </c>
      <c r="J77" s="75">
        <f t="shared" si="15"/>
        <v>-0.94728640024550259</v>
      </c>
      <c r="K77" s="73">
        <f>C77*'Totals and MOU%s'!$E$26</f>
        <v>1101870.2946836541</v>
      </c>
      <c r="L77" s="73">
        <f t="shared" si="11"/>
        <v>7112071.9020490395</v>
      </c>
      <c r="M77" s="100" t="e">
        <f>_xlfn.XLOOKUP(B77,#REF!,#REF!)</f>
        <v>#REF!</v>
      </c>
      <c r="N77" s="100">
        <v>2.56703E-2</v>
      </c>
      <c r="O77" s="92" t="str">
        <f t="shared" si="12"/>
        <v>Difference</v>
      </c>
      <c r="P77" s="91">
        <f t="shared" si="13"/>
        <v>3.9999999999762448E-8</v>
      </c>
    </row>
    <row r="78" spans="1:17" x14ac:dyDescent="0.25">
      <c r="A78" t="s">
        <v>83</v>
      </c>
      <c r="B78" s="76" t="s">
        <v>272</v>
      </c>
      <c r="C78" s="99">
        <v>4.4900449004490004E-3</v>
      </c>
      <c r="D78" s="91">
        <f t="shared" si="10"/>
        <v>4.4900399999999998E-3</v>
      </c>
      <c r="E78" s="25">
        <f>C78*'Totals and MOU%s'!$C$26</f>
        <v>427393.42910105473</v>
      </c>
      <c r="F78" s="30">
        <f>N78*'Totals and MOU%s'!$C$26</f>
        <v>427392.962642534</v>
      </c>
      <c r="G78" s="75">
        <f t="shared" si="14"/>
        <v>0.466458520735614</v>
      </c>
      <c r="H78" s="25">
        <f>C78*'Totals and MOU%s'!$D$26</f>
        <v>98235.811589840974</v>
      </c>
      <c r="I78" s="30">
        <f>N78*'Totals and MOU%s'!$D$26</f>
        <v>98235.704374969981</v>
      </c>
      <c r="J78" s="75">
        <f t="shared" si="15"/>
        <v>0.10721487099363003</v>
      </c>
      <c r="K78" s="73">
        <f>C78*'Totals and MOU%s'!$E$26</f>
        <v>192730.72158666176</v>
      </c>
      <c r="L78" s="73">
        <f t="shared" si="11"/>
        <v>1243989.2029684531</v>
      </c>
      <c r="M78" s="100" t="e">
        <f>_xlfn.XLOOKUP(B78,#REF!,#REF!)</f>
        <v>#REF!</v>
      </c>
      <c r="N78" s="100">
        <v>4.4900399999999998E-3</v>
      </c>
      <c r="O78" s="92" t="str">
        <f t="shared" si="12"/>
        <v>Allocation Match</v>
      </c>
      <c r="P78" s="91">
        <f t="shared" si="13"/>
        <v>0</v>
      </c>
    </row>
    <row r="79" spans="1:17" x14ac:dyDescent="0.25">
      <c r="A79" t="s">
        <v>84</v>
      </c>
      <c r="B79" s="76" t="s">
        <v>273</v>
      </c>
      <c r="C79" s="99">
        <v>8.8000880008800002E-4</v>
      </c>
      <c r="D79" s="91">
        <f t="shared" si="10"/>
        <v>8.8000999999999997E-4</v>
      </c>
      <c r="E79" s="25">
        <f>C79*'Totals and MOU%s'!$C$26</f>
        <v>83765.304589961728</v>
      </c>
      <c r="F79" s="30">
        <f>N79*'Totals and MOU%s'!$C$26</f>
        <v>83765.323618964117</v>
      </c>
      <c r="G79" s="75">
        <f t="shared" si="14"/>
        <v>-1.9029002389288507E-2</v>
      </c>
      <c r="H79" s="25">
        <f>C79*'Totals and MOU%s'!$D$26</f>
        <v>19253.343919612482</v>
      </c>
      <c r="I79" s="30">
        <f>N79*'Totals and MOU%s'!$D$26</f>
        <v>19253.348293403389</v>
      </c>
      <c r="J79" s="75">
        <f t="shared" si="15"/>
        <v>-4.3737909072660841E-3</v>
      </c>
      <c r="K79" s="73">
        <f>C79*'Totals and MOU%s'!$E$26</f>
        <v>37773.504453510541</v>
      </c>
      <c r="L79" s="73">
        <f t="shared" si="11"/>
        <v>243810.80147265893</v>
      </c>
      <c r="M79" s="100" t="e">
        <f>_xlfn.XLOOKUP(B79,#REF!,#REF!)</f>
        <v>#REF!</v>
      </c>
      <c r="N79" s="100">
        <v>8.8000899999999996E-4</v>
      </c>
      <c r="O79" s="92" t="str">
        <f t="shared" si="12"/>
        <v>Difference</v>
      </c>
      <c r="P79" s="91">
        <f t="shared" si="13"/>
        <v>-1.0000000000157452E-9</v>
      </c>
      <c r="Q79" s="90" t="s">
        <v>215</v>
      </c>
    </row>
    <row r="80" spans="1:17" x14ac:dyDescent="0.25">
      <c r="A80" t="s">
        <v>85</v>
      </c>
      <c r="B80" s="76" t="s">
        <v>85</v>
      </c>
      <c r="C80" s="99">
        <v>8.1600816008160094E-3</v>
      </c>
      <c r="D80" s="91">
        <f t="shared" si="10"/>
        <v>8.1600800000000001E-3</v>
      </c>
      <c r="E80" s="25">
        <f>C80*'Totals and MOU%s'!$C$26</f>
        <v>776732.82437964599</v>
      </c>
      <c r="F80" s="30">
        <f>N80*'Totals and MOU%s'!$C$26</f>
        <v>776732.67200294184</v>
      </c>
      <c r="G80" s="75">
        <f t="shared" si="14"/>
        <v>0.15237670415081084</v>
      </c>
      <c r="H80" s="25">
        <f>C80*'Totals and MOU%s'!$D$26</f>
        <v>178531.00725458868</v>
      </c>
      <c r="I80" s="30">
        <f>N80*'Totals and MOU%s'!$D$26</f>
        <v>178530.97223100576</v>
      </c>
      <c r="J80" s="75">
        <f t="shared" si="15"/>
        <v>3.5023582924623042E-2</v>
      </c>
      <c r="K80" s="73">
        <f>C80*'Totals and MOU%s'!$E$26</f>
        <v>350263.40493255266</v>
      </c>
      <c r="L80" s="73">
        <f t="shared" si="11"/>
        <v>2260791.0682010218</v>
      </c>
      <c r="M80" s="100" t="e">
        <f>_xlfn.XLOOKUP(B80,#REF!,#REF!)</f>
        <v>#REF!</v>
      </c>
      <c r="N80" s="100">
        <v>8.1600800000000001E-3</v>
      </c>
      <c r="O80" s="92" t="str">
        <f t="shared" si="12"/>
        <v>Allocation Match</v>
      </c>
      <c r="P80" s="91">
        <f t="shared" si="13"/>
        <v>0</v>
      </c>
    </row>
    <row r="81" spans="1:16" x14ac:dyDescent="0.25">
      <c r="A81" t="s">
        <v>86</v>
      </c>
      <c r="B81" s="76" t="s">
        <v>274</v>
      </c>
      <c r="C81" s="99">
        <v>1.6300163001629999E-3</v>
      </c>
      <c r="D81" s="91">
        <f t="shared" si="10"/>
        <v>1.63002E-3</v>
      </c>
      <c r="E81" s="25">
        <f>C81*'Totals and MOU%s'!$C$26</f>
        <v>155156.18918367909</v>
      </c>
      <c r="F81" s="30">
        <f>N81*'Totals and MOU%s'!$C$26</f>
        <v>155156.54135967235</v>
      </c>
      <c r="G81" s="75">
        <f t="shared" si="14"/>
        <v>-0.35217599326279014</v>
      </c>
      <c r="H81" s="25">
        <f>C81*'Totals and MOU%s'!$D$26</f>
        <v>35662.44385110039</v>
      </c>
      <c r="I81" s="30">
        <f>N81*'Totals and MOU%s'!$D$26</f>
        <v>35662.524798284328</v>
      </c>
      <c r="J81" s="75">
        <f t="shared" si="15"/>
        <v>-8.0947183938405942E-2</v>
      </c>
      <c r="K81" s="73">
        <f>C81*'Totals and MOU%s'!$E$26</f>
        <v>69966.832112752469</v>
      </c>
      <c r="L81" s="73">
        <f t="shared" si="11"/>
        <v>451604.09818231146</v>
      </c>
      <c r="M81" s="100" t="e">
        <f>_xlfn.XLOOKUP(B81,#REF!,#REF!)</f>
        <v>#REF!</v>
      </c>
      <c r="N81" s="100">
        <v>1.63002E-3</v>
      </c>
      <c r="O81" s="92" t="str">
        <f t="shared" si="12"/>
        <v>Allocation Match</v>
      </c>
      <c r="P81" s="91">
        <f t="shared" si="13"/>
        <v>0</v>
      </c>
    </row>
    <row r="82" spans="1:16" x14ac:dyDescent="0.25">
      <c r="A82" t="s">
        <v>87</v>
      </c>
      <c r="B82" s="76" t="s">
        <v>87</v>
      </c>
      <c r="C82" s="99">
        <v>4.5200452004519999E-3</v>
      </c>
      <c r="D82" s="91">
        <f t="shared" si="10"/>
        <v>4.5200500000000003E-3</v>
      </c>
      <c r="E82" s="25">
        <f>C82*'Totals and MOU%s'!$C$26</f>
        <v>430249.06448480341</v>
      </c>
      <c r="F82" s="30">
        <f>N82*'Totals and MOU%s'!$C$26</f>
        <v>430249.52133887133</v>
      </c>
      <c r="G82" s="75">
        <f t="shared" si="14"/>
        <v>-0.45685406791744754</v>
      </c>
      <c r="H82" s="25">
        <f>C82*'Totals and MOU%s'!$D$26</f>
        <v>98892.175587100472</v>
      </c>
      <c r="I82" s="30">
        <f>N82*'Totals and MOU%s'!$D$26</f>
        <v>98892.280594400741</v>
      </c>
      <c r="J82" s="75">
        <f t="shared" si="15"/>
        <v>-0.10500730026978999</v>
      </c>
      <c r="K82" s="73">
        <f>C82*'Totals and MOU%s'!$E$26</f>
        <v>194018.45469303141</v>
      </c>
      <c r="L82" s="73">
        <f t="shared" si="11"/>
        <v>1252300.9348368393</v>
      </c>
      <c r="M82" s="100" t="e">
        <f>_xlfn.XLOOKUP(B82,#REF!,#REF!)</f>
        <v>#REF!</v>
      </c>
      <c r="N82" s="100">
        <v>4.5200500000000003E-3</v>
      </c>
      <c r="O82" s="92" t="str">
        <f t="shared" si="12"/>
        <v>Allocation Match</v>
      </c>
      <c r="P82" s="91">
        <f t="shared" si="13"/>
        <v>0</v>
      </c>
    </row>
    <row r="83" spans="1:16" x14ac:dyDescent="0.25">
      <c r="A83" t="s">
        <v>88</v>
      </c>
      <c r="B83" s="76" t="s">
        <v>88</v>
      </c>
      <c r="C83" s="99">
        <v>9.5000950009499995E-4</v>
      </c>
      <c r="D83" s="91">
        <f t="shared" si="10"/>
        <v>9.5001000000000005E-4</v>
      </c>
      <c r="E83" s="25">
        <f>C83*'Totals and MOU%s'!$C$26</f>
        <v>90428.453818708673</v>
      </c>
      <c r="F83" s="30">
        <f>N83*'Totals and MOU%s'!$C$26</f>
        <v>90428.501403113056</v>
      </c>
      <c r="G83" s="75">
        <f t="shared" si="14"/>
        <v>-4.7584404383087531E-2</v>
      </c>
      <c r="H83" s="25">
        <f>C83*'Totals and MOU%s'!$D$26</f>
        <v>20784.859913218021</v>
      </c>
      <c r="I83" s="30">
        <f>N83*'Totals and MOU%s'!$D$26</f>
        <v>20784.870850430118</v>
      </c>
      <c r="J83" s="75">
        <f t="shared" si="15"/>
        <v>-1.0937212096905569E-2</v>
      </c>
      <c r="K83" s="73">
        <f>C83*'Totals and MOU%s'!$E$26</f>
        <v>40778.215035039786</v>
      </c>
      <c r="L83" s="73">
        <f t="shared" si="11"/>
        <v>263204.84249889315</v>
      </c>
      <c r="M83" s="100" t="e">
        <f>_xlfn.XLOOKUP(B83,#REF!,#REF!)</f>
        <v>#REF!</v>
      </c>
      <c r="N83" s="100">
        <v>9.5001000000000005E-4</v>
      </c>
      <c r="O83" s="92" t="str">
        <f t="shared" si="12"/>
        <v>Allocation Match</v>
      </c>
      <c r="P83" s="91">
        <f t="shared" si="13"/>
        <v>0</v>
      </c>
    </row>
    <row r="84" spans="1:16" x14ac:dyDescent="0.25">
      <c r="A84" t="s">
        <v>89</v>
      </c>
      <c r="B84" s="76" t="s">
        <v>89</v>
      </c>
      <c r="C84" s="99">
        <v>4.9400494004940001E-3</v>
      </c>
      <c r="D84" s="91">
        <f t="shared" si="10"/>
        <v>4.9400499999999996E-3</v>
      </c>
      <c r="E84" s="25">
        <f>C84*'Totals and MOU%s'!$C$26</f>
        <v>470227.95985728514</v>
      </c>
      <c r="F84" s="30">
        <f>N84*'Totals and MOU%s'!$C$26</f>
        <v>470228.01692239934</v>
      </c>
      <c r="G84" s="75">
        <f t="shared" si="14"/>
        <v>-5.7065114204306155E-2</v>
      </c>
      <c r="H84" s="25">
        <f>C84*'Totals and MOU%s'!$D$26</f>
        <v>108081.27154873371</v>
      </c>
      <c r="I84" s="30">
        <f>N84*'Totals and MOU%s'!$D$26</f>
        <v>108081.28466507436</v>
      </c>
      <c r="J84" s="75">
        <f t="shared" si="15"/>
        <v>-1.311634064768441E-2</v>
      </c>
      <c r="K84" s="73">
        <f>C84*'Totals and MOU%s'!$E$26</f>
        <v>212046.71818220691</v>
      </c>
      <c r="L84" s="73">
        <f t="shared" si="11"/>
        <v>1368665.1809942445</v>
      </c>
      <c r="M84" s="100" t="e">
        <f>_xlfn.XLOOKUP(B84,#REF!,#REF!)</f>
        <v>#REF!</v>
      </c>
      <c r="N84" s="100">
        <v>4.9400499999999996E-3</v>
      </c>
      <c r="O84" s="92" t="str">
        <f t="shared" si="12"/>
        <v>Allocation Match</v>
      </c>
      <c r="P84" s="91">
        <f t="shared" si="13"/>
        <v>0</v>
      </c>
    </row>
    <row r="85" spans="1:16" x14ac:dyDescent="0.25">
      <c r="A85" t="s">
        <v>90</v>
      </c>
      <c r="B85" s="76" t="s">
        <v>275</v>
      </c>
      <c r="C85" s="99">
        <v>8.8000880008800002E-4</v>
      </c>
      <c r="D85" s="91">
        <f t="shared" si="10"/>
        <v>8.8000999999999997E-4</v>
      </c>
      <c r="E85" s="25">
        <f>C85*'Totals and MOU%s'!$C$26</f>
        <v>83765.304589961728</v>
      </c>
      <c r="F85" s="30">
        <f>N85*'Totals and MOU%s'!$C$26</f>
        <v>83765.323618964117</v>
      </c>
      <c r="G85" s="75">
        <f t="shared" si="14"/>
        <v>-1.9029002389288507E-2</v>
      </c>
      <c r="H85" s="25">
        <f>C85*'Totals and MOU%s'!$D$26</f>
        <v>19253.343919612482</v>
      </c>
      <c r="I85" s="30">
        <f>N85*'Totals and MOU%s'!$D$26</f>
        <v>19253.348293403389</v>
      </c>
      <c r="J85" s="75">
        <f t="shared" si="15"/>
        <v>-4.3737909072660841E-3</v>
      </c>
      <c r="K85" s="73">
        <f>C85*'Totals and MOU%s'!$E$26</f>
        <v>37773.504453510541</v>
      </c>
      <c r="L85" s="73">
        <f t="shared" si="11"/>
        <v>243810.80147265893</v>
      </c>
      <c r="M85" s="100" t="e">
        <f>_xlfn.XLOOKUP(B85,#REF!,#REF!)</f>
        <v>#REF!</v>
      </c>
      <c r="N85" s="100">
        <v>8.8000899999999996E-4</v>
      </c>
      <c r="O85" s="92" t="str">
        <f t="shared" si="12"/>
        <v>Difference</v>
      </c>
      <c r="P85" s="91">
        <f t="shared" si="13"/>
        <v>-1.0000000000157452E-9</v>
      </c>
    </row>
    <row r="86" spans="1:16" x14ac:dyDescent="0.25">
      <c r="A86" t="s">
        <v>91</v>
      </c>
      <c r="B86" s="76" t="s">
        <v>276</v>
      </c>
      <c r="C86" s="99">
        <v>3.4400344003439999E-3</v>
      </c>
      <c r="D86" s="91">
        <f t="shared" si="10"/>
        <v>3.4400300000000002E-3</v>
      </c>
      <c r="E86" s="25">
        <f>C86*'Totals and MOU%s'!$C$26</f>
        <v>327446.19066985039</v>
      </c>
      <c r="F86" s="30">
        <f>N86*'Totals and MOU%s'!$C$26</f>
        <v>327445.7718147714</v>
      </c>
      <c r="G86" s="75">
        <f t="shared" si="14"/>
        <v>0.41885507898405194</v>
      </c>
      <c r="H86" s="25">
        <f>C86*'Totals and MOU%s'!$D$26</f>
        <v>75263.071685757881</v>
      </c>
      <c r="I86" s="30">
        <f>N86*'Totals and MOU%s'!$D$26</f>
        <v>75262.975412474727</v>
      </c>
      <c r="J86" s="75">
        <f t="shared" si="15"/>
        <v>9.6273283154005185E-2</v>
      </c>
      <c r="K86" s="73">
        <f>C86*'Totals and MOU%s'!$E$26</f>
        <v>147660.06286372303</v>
      </c>
      <c r="L86" s="73">
        <f t="shared" si="11"/>
        <v>953078.58757493948</v>
      </c>
      <c r="M86" s="100" t="e">
        <f>_xlfn.XLOOKUP(B86,#REF!,#REF!)</f>
        <v>#REF!</v>
      </c>
      <c r="N86" s="100">
        <v>3.4400300000000002E-3</v>
      </c>
      <c r="O86" s="92" t="str">
        <f t="shared" si="12"/>
        <v>Allocation Match</v>
      </c>
      <c r="P86" s="91">
        <f t="shared" si="13"/>
        <v>0</v>
      </c>
    </row>
    <row r="87" spans="1:16" x14ac:dyDescent="0.25">
      <c r="A87" t="s">
        <v>92</v>
      </c>
      <c r="B87" s="76" t="s">
        <v>277</v>
      </c>
      <c r="C87" s="99">
        <v>1.080010800108E-3</v>
      </c>
      <c r="D87" s="91">
        <f t="shared" si="10"/>
        <v>1.08001E-3</v>
      </c>
      <c r="E87" s="25">
        <f>C87*'Totals and MOU%s'!$C$26</f>
        <v>102802.87381495303</v>
      </c>
      <c r="F87" s="30">
        <f>N87*'Totals and MOU%s'!$C$26</f>
        <v>102802.79765515744</v>
      </c>
      <c r="G87" s="75">
        <f t="shared" si="14"/>
        <v>7.615979558613617E-2</v>
      </c>
      <c r="H87" s="25">
        <f>C87*'Totals and MOU%s'!$D$26</f>
        <v>23629.103901342591</v>
      </c>
      <c r="I87" s="30">
        <f>N87*'Totals and MOU%s'!$D$26</f>
        <v>23629.086396114806</v>
      </c>
      <c r="J87" s="75">
        <f t="shared" si="15"/>
        <v>1.7505227784567978E-2</v>
      </c>
      <c r="K87" s="73">
        <f>C87*'Totals and MOU%s'!$E$26</f>
        <v>46358.391829308392</v>
      </c>
      <c r="L87" s="73">
        <f t="shared" si="11"/>
        <v>299222.34726189967</v>
      </c>
      <c r="M87" s="100" t="e">
        <f>_xlfn.XLOOKUP(B87,#REF!,#REF!)</f>
        <v>#REF!</v>
      </c>
      <c r="N87" s="100">
        <v>1.08001E-3</v>
      </c>
      <c r="O87" s="92" t="str">
        <f t="shared" si="12"/>
        <v>Allocation Match</v>
      </c>
      <c r="P87" s="91">
        <f t="shared" si="13"/>
        <v>0</v>
      </c>
    </row>
    <row r="88" spans="1:16" x14ac:dyDescent="0.25">
      <c r="A88" t="s">
        <v>93</v>
      </c>
      <c r="B88" s="76" t="s">
        <v>278</v>
      </c>
      <c r="C88" s="99">
        <v>1.2050120501205E-2</v>
      </c>
      <c r="D88" s="91">
        <f t="shared" si="10"/>
        <v>1.2050119999999999E-2</v>
      </c>
      <c r="E88" s="25">
        <f>C88*'Totals and MOU%s'!$C$26</f>
        <v>1147013.545805726</v>
      </c>
      <c r="F88" s="30">
        <f>N88*'Totals and MOU%s'!$C$26</f>
        <v>1147011.5943596936</v>
      </c>
      <c r="G88" s="75">
        <f t="shared" si="14"/>
        <v>1.9514460323844105</v>
      </c>
      <c r="H88" s="25">
        <f>C88*'Totals and MOU%s'!$D$26</f>
        <v>263639.53889923909</v>
      </c>
      <c r="I88" s="30">
        <f>N88*'Totals and MOU%s'!$D$26</f>
        <v>263639.09036196244</v>
      </c>
      <c r="J88" s="75">
        <f t="shared" si="15"/>
        <v>0.44853727665031329</v>
      </c>
      <c r="K88" s="73">
        <f>C88*'Totals and MOU%s'!$E$26</f>
        <v>517239.46439182048</v>
      </c>
      <c r="L88" s="73">
        <f t="shared" si="11"/>
        <v>3338545.6338017504</v>
      </c>
      <c r="M88" s="100" t="e">
        <f>_xlfn.XLOOKUP(B88,#REF!,#REF!)</f>
        <v>#REF!</v>
      </c>
      <c r="N88" s="100">
        <v>1.2050099999999999E-2</v>
      </c>
      <c r="O88" s="92" t="str">
        <f t="shared" si="12"/>
        <v>Difference</v>
      </c>
      <c r="P88" s="91">
        <f t="shared" si="13"/>
        <v>-1.9999999999881224E-8</v>
      </c>
    </row>
    <row r="89" spans="1:16" x14ac:dyDescent="0.25">
      <c r="A89" t="s">
        <v>94</v>
      </c>
      <c r="B89" s="76" t="s">
        <v>279</v>
      </c>
      <c r="C89" s="99">
        <v>1.470014700147E-3</v>
      </c>
      <c r="D89" s="91">
        <f t="shared" si="10"/>
        <v>1.4700099999999999E-3</v>
      </c>
      <c r="E89" s="25">
        <f>C89*'Totals and MOU%s'!$C$26</f>
        <v>139926.13380368607</v>
      </c>
      <c r="F89" s="30">
        <f>N89*'Totals and MOU%s'!$C$26</f>
        <v>139925.68641129063</v>
      </c>
      <c r="G89" s="75">
        <f t="shared" si="14"/>
        <v>0.44739239543559961</v>
      </c>
      <c r="H89" s="25">
        <f>C89*'Totals and MOU%s'!$D$26</f>
        <v>32161.835865716304</v>
      </c>
      <c r="I89" s="30">
        <f>N89*'Totals and MOU%s'!$D$26</f>
        <v>32161.733033168886</v>
      </c>
      <c r="J89" s="75">
        <f t="shared" si="15"/>
        <v>0.10283254741807468</v>
      </c>
      <c r="K89" s="73">
        <f>C89*'Totals and MOU%s'!$E$26</f>
        <v>63098.922212114194</v>
      </c>
      <c r="L89" s="73">
        <f t="shared" si="11"/>
        <v>407274.86155091901</v>
      </c>
      <c r="M89" s="100" t="e">
        <f>_xlfn.XLOOKUP(B89,#REF!,#REF!)</f>
        <v>#REF!</v>
      </c>
      <c r="N89" s="100">
        <v>1.4700099999999999E-3</v>
      </c>
      <c r="O89" s="92" t="str">
        <f t="shared" si="12"/>
        <v>Allocation Match</v>
      </c>
      <c r="P89" s="91">
        <f t="shared" si="13"/>
        <v>0</v>
      </c>
    </row>
    <row r="90" spans="1:16" x14ac:dyDescent="0.25">
      <c r="A90" t="s">
        <v>95</v>
      </c>
      <c r="B90" s="76" t="s">
        <v>280</v>
      </c>
      <c r="C90" s="99">
        <v>1.5600156001560001E-3</v>
      </c>
      <c r="D90" s="91">
        <f t="shared" si="10"/>
        <v>1.5600200000000001E-3</v>
      </c>
      <c r="E90" s="25">
        <f>C90*'Totals and MOU%s'!$C$26</f>
        <v>148493.03995493214</v>
      </c>
      <c r="F90" s="30">
        <f>N90*'Totals and MOU%s'!$C$26</f>
        <v>148493.45876241769</v>
      </c>
      <c r="G90" s="75">
        <f t="shared" si="14"/>
        <v>-0.41880748554831371</v>
      </c>
      <c r="H90" s="25">
        <f>C90*'Totals and MOU%s'!$D$26</f>
        <v>34130.927857494855</v>
      </c>
      <c r="I90" s="30">
        <f>N90*'Totals and MOU%s'!$D$26</f>
        <v>34131.02411983873</v>
      </c>
      <c r="J90" s="75">
        <f t="shared" si="15"/>
        <v>-9.6262343875423539E-2</v>
      </c>
      <c r="K90" s="73">
        <f>C90*'Totals and MOU%s'!$E$26</f>
        <v>66962.121531223238</v>
      </c>
      <c r="L90" s="73">
        <f t="shared" si="11"/>
        <v>432210.05715607724</v>
      </c>
      <c r="M90" s="100" t="e">
        <f>_xlfn.XLOOKUP(B90,#REF!,#REF!)</f>
        <v>#REF!</v>
      </c>
      <c r="N90" s="100">
        <v>1.5600200000000001E-3</v>
      </c>
      <c r="O90" s="92" t="str">
        <f t="shared" si="12"/>
        <v>Allocation Match</v>
      </c>
      <c r="P90" s="91">
        <f t="shared" si="13"/>
        <v>0</v>
      </c>
    </row>
    <row r="91" spans="1:16" x14ac:dyDescent="0.25">
      <c r="A91" t="s">
        <v>96</v>
      </c>
      <c r="B91" s="76" t="s">
        <v>96</v>
      </c>
      <c r="C91" s="99">
        <v>2.0470204702046999E-2</v>
      </c>
      <c r="D91" s="91">
        <f t="shared" si="10"/>
        <v>2.0470200000000001E-2</v>
      </c>
      <c r="E91" s="25">
        <f>C91*'Totals and MOU%s'!$C$26</f>
        <v>1948495.2101778595</v>
      </c>
      <c r="F91" s="30">
        <f>N91*'Totals and MOU%s'!$C$26</f>
        <v>1948494.7626046091</v>
      </c>
      <c r="G91" s="75">
        <f t="shared" si="14"/>
        <v>0.44757325039245188</v>
      </c>
      <c r="H91" s="25">
        <f>C91*'Totals and MOU%s'!$D$26</f>
        <v>447859.0341300767</v>
      </c>
      <c r="I91" s="30">
        <f>N91*'Totals and MOU%s'!$D$26</f>
        <v>447858.93125596002</v>
      </c>
      <c r="J91" s="75">
        <f t="shared" si="15"/>
        <v>0.10287411668105051</v>
      </c>
      <c r="K91" s="73">
        <f>C91*'Totals and MOU%s'!$E$26</f>
        <v>878663.22291290993</v>
      </c>
      <c r="L91" s="73">
        <f t="shared" si="11"/>
        <v>5671371.7115287818</v>
      </c>
      <c r="M91" s="100" t="e">
        <f>_xlfn.XLOOKUP(B91,#REF!,#REF!)</f>
        <v>#REF!</v>
      </c>
      <c r="N91" s="100">
        <v>2.0470200000000001E-2</v>
      </c>
      <c r="O91" s="92" t="str">
        <f t="shared" si="12"/>
        <v>Allocation Match</v>
      </c>
      <c r="P91" s="91">
        <f t="shared" si="13"/>
        <v>0</v>
      </c>
    </row>
    <row r="92" spans="1:16" x14ac:dyDescent="0.25">
      <c r="A92" t="s">
        <v>97</v>
      </c>
      <c r="B92" s="76" t="s">
        <v>97</v>
      </c>
      <c r="C92" s="99">
        <v>3.3880338803387998E-2</v>
      </c>
      <c r="D92" s="91">
        <f t="shared" si="10"/>
        <v>3.3880340000000002E-2</v>
      </c>
      <c r="E92" s="25">
        <f>C92*'Totals and MOU%s'!$C$26</f>
        <v>3224964.2267135261</v>
      </c>
      <c r="F92" s="30">
        <f>N92*'Totals and MOU%s'!$C$26</f>
        <v>3224960.5331395366</v>
      </c>
      <c r="G92" s="75">
        <f t="shared" si="14"/>
        <v>3.6935739894397557</v>
      </c>
      <c r="H92" s="25">
        <f>C92*'Totals and MOU%s'!$D$26</f>
        <v>741253.74090508057</v>
      </c>
      <c r="I92" s="30">
        <f>N92*'Totals and MOU%s'!$D$26</f>
        <v>741252.89194200851</v>
      </c>
      <c r="J92" s="75">
        <f t="shared" si="15"/>
        <v>0.84896307205781341</v>
      </c>
      <c r="K92" s="73">
        <f>C92*'Totals and MOU%s'!$E$26</f>
        <v>1454279.9214601556</v>
      </c>
      <c r="L92" s="73">
        <f t="shared" si="11"/>
        <v>9386715.8566973694</v>
      </c>
      <c r="M92" s="100" t="e">
        <f>_xlfn.XLOOKUP(B92,#REF!,#REF!)</f>
        <v>#REF!</v>
      </c>
      <c r="N92" s="100">
        <v>3.3880300000000002E-2</v>
      </c>
      <c r="O92" s="92" t="str">
        <f t="shared" si="12"/>
        <v>Difference</v>
      </c>
      <c r="P92" s="91">
        <f t="shared" si="13"/>
        <v>-3.9999999999762448E-8</v>
      </c>
    </row>
    <row r="93" spans="1:16" x14ac:dyDescent="0.25">
      <c r="A93" t="s">
        <v>98</v>
      </c>
      <c r="B93" s="76" t="s">
        <v>281</v>
      </c>
      <c r="C93" s="99">
        <v>1.2200122001220001E-3</v>
      </c>
      <c r="D93" s="91">
        <f t="shared" si="10"/>
        <v>1.2200100000000001E-3</v>
      </c>
      <c r="E93" s="25">
        <f>C93*'Totals and MOU%s'!$C$26</f>
        <v>116129.17227244694</v>
      </c>
      <c r="F93" s="30">
        <f>N93*'Totals and MOU%s'!$C$26</f>
        <v>116128.9628496668</v>
      </c>
      <c r="G93" s="75">
        <f t="shared" si="14"/>
        <v>0.20942278014263138</v>
      </c>
      <c r="H93" s="25">
        <f>C93*'Totals and MOU%s'!$D$26</f>
        <v>26692.135888553668</v>
      </c>
      <c r="I93" s="30">
        <f>N93*'Totals and MOU%s'!$D$26</f>
        <v>26692.087753006017</v>
      </c>
      <c r="J93" s="75">
        <f t="shared" si="15"/>
        <v>4.8135547651327215E-2</v>
      </c>
      <c r="K93" s="73">
        <f>C93*'Totals and MOU%s'!$E$26</f>
        <v>52367.812992366889</v>
      </c>
      <c r="L93" s="73">
        <f t="shared" si="11"/>
        <v>338010.42931436811</v>
      </c>
      <c r="M93" s="100" t="e">
        <f>_xlfn.XLOOKUP(B93,#REF!,#REF!)</f>
        <v>#REF!</v>
      </c>
      <c r="N93" s="100">
        <v>1.2200100000000001E-3</v>
      </c>
      <c r="O93" s="92" t="str">
        <f t="shared" si="12"/>
        <v>Allocation Match</v>
      </c>
      <c r="P93" s="91">
        <f t="shared" si="13"/>
        <v>0</v>
      </c>
    </row>
    <row r="94" spans="1:16" x14ac:dyDescent="0.25">
      <c r="A94" t="s">
        <v>99</v>
      </c>
      <c r="B94" s="76" t="s">
        <v>282</v>
      </c>
      <c r="C94" s="99">
        <v>1.2900129001290001E-3</v>
      </c>
      <c r="D94" s="91">
        <f t="shared" si="10"/>
        <v>1.2900100000000001E-3</v>
      </c>
      <c r="E94" s="25">
        <f>C94*'Totals and MOU%s'!$C$26</f>
        <v>122792.3215011939</v>
      </c>
      <c r="F94" s="30">
        <f>N94*'Totals and MOU%s'!$C$26</f>
        <v>122792.04544692147</v>
      </c>
      <c r="G94" s="75">
        <f t="shared" si="14"/>
        <v>0.27605427242815495</v>
      </c>
      <c r="H94" s="25">
        <f>C94*'Totals and MOU%s'!$D$26</f>
        <v>28223.651882159211</v>
      </c>
      <c r="I94" s="30">
        <f>N94*'Totals and MOU%s'!$D$26</f>
        <v>28223.588431451622</v>
      </c>
      <c r="J94" s="75">
        <f t="shared" si="15"/>
        <v>6.3450707588344812E-2</v>
      </c>
      <c r="K94" s="73">
        <f>C94*'Totals and MOU%s'!$E$26</f>
        <v>55372.523573896135</v>
      </c>
      <c r="L94" s="73">
        <f t="shared" si="11"/>
        <v>357404.47034060239</v>
      </c>
      <c r="M94" s="100" t="e">
        <f>_xlfn.XLOOKUP(B94,#REF!,#REF!)</f>
        <v>#REF!</v>
      </c>
      <c r="N94" s="100">
        <v>1.2900100000000001E-3</v>
      </c>
      <c r="O94" s="92" t="str">
        <f t="shared" si="12"/>
        <v>Allocation Match</v>
      </c>
      <c r="P94" s="91">
        <f t="shared" si="13"/>
        <v>0</v>
      </c>
    </row>
    <row r="95" spans="1:16" x14ac:dyDescent="0.25">
      <c r="A95" t="s">
        <v>100</v>
      </c>
      <c r="B95" s="76" t="s">
        <v>100</v>
      </c>
      <c r="C95" s="99">
        <v>1.10001100011E-3</v>
      </c>
      <c r="D95" s="91">
        <f t="shared" si="10"/>
        <v>1.10001E-3</v>
      </c>
      <c r="E95" s="25">
        <f>C95*'Totals and MOU%s'!$C$26</f>
        <v>104706.63073745216</v>
      </c>
      <c r="F95" s="30">
        <f>N95*'Totals and MOU%s'!$C$26</f>
        <v>104706.53554008735</v>
      </c>
      <c r="G95" s="75">
        <f t="shared" si="14"/>
        <v>9.5197364804334939E-2</v>
      </c>
      <c r="H95" s="25">
        <f>C95*'Totals and MOU%s'!$D$26</f>
        <v>24066.679899515602</v>
      </c>
      <c r="I95" s="30">
        <f>N95*'Totals and MOU%s'!$D$26</f>
        <v>24066.65801852784</v>
      </c>
      <c r="J95" s="75">
        <f t="shared" si="15"/>
        <v>2.1880987762415316E-2</v>
      </c>
      <c r="K95" s="73">
        <f>C95*'Totals and MOU%s'!$E$26</f>
        <v>47216.880566888176</v>
      </c>
      <c r="L95" s="73">
        <f t="shared" si="11"/>
        <v>304763.50184082374</v>
      </c>
      <c r="M95" s="100" t="e">
        <f>_xlfn.XLOOKUP(B95,#REF!,#REF!)</f>
        <v>#REF!</v>
      </c>
      <c r="N95" s="100">
        <v>1.10001E-3</v>
      </c>
      <c r="O95" s="92" t="str">
        <f t="shared" si="12"/>
        <v>Allocation Match</v>
      </c>
      <c r="P95" s="91">
        <f t="shared" si="13"/>
        <v>0</v>
      </c>
    </row>
    <row r="96" spans="1:16" x14ac:dyDescent="0.25">
      <c r="A96" t="s">
        <v>101</v>
      </c>
      <c r="B96" s="76" t="s">
        <v>283</v>
      </c>
      <c r="C96" s="99">
        <v>1.3300133001329999E-3</v>
      </c>
      <c r="D96" s="91">
        <f t="shared" si="10"/>
        <v>1.33001E-3</v>
      </c>
      <c r="E96" s="25">
        <f>C96*'Totals and MOU%s'!$C$26</f>
        <v>126599.83534619215</v>
      </c>
      <c r="F96" s="30">
        <f>N96*'Totals and MOU%s'!$C$26</f>
        <v>126599.52121678127</v>
      </c>
      <c r="G96" s="75">
        <f t="shared" si="14"/>
        <v>0.3141294108791044</v>
      </c>
      <c r="H96" s="25">
        <f>C96*'Totals and MOU%s'!$D$26</f>
        <v>29098.803878505227</v>
      </c>
      <c r="I96" s="30">
        <f>N96*'Totals and MOU%s'!$D$26</f>
        <v>29098.731676277679</v>
      </c>
      <c r="J96" s="75">
        <f t="shared" si="15"/>
        <v>7.2202227547677467E-2</v>
      </c>
      <c r="K96" s="73">
        <f>C96*'Totals and MOU%s'!$E$26</f>
        <v>57089.501049055703</v>
      </c>
      <c r="L96" s="73">
        <f t="shared" si="11"/>
        <v>368486.77949845052</v>
      </c>
      <c r="M96" s="100" t="e">
        <f>_xlfn.XLOOKUP(B96,#REF!,#REF!)</f>
        <v>#REF!</v>
      </c>
      <c r="N96" s="100">
        <v>1.33001E-3</v>
      </c>
      <c r="O96" s="92" t="str">
        <f t="shared" si="12"/>
        <v>Allocation Match</v>
      </c>
      <c r="P96" s="91">
        <f t="shared" si="13"/>
        <v>0</v>
      </c>
    </row>
    <row r="97" spans="1:16" x14ac:dyDescent="0.25">
      <c r="A97" t="s">
        <v>102</v>
      </c>
      <c r="B97" s="76" t="s">
        <v>284</v>
      </c>
      <c r="C97" s="99">
        <v>6.3800638006380099E-3</v>
      </c>
      <c r="D97" s="91">
        <f t="shared" si="10"/>
        <v>6.3800599999999999E-3</v>
      </c>
      <c r="E97" s="25">
        <f>C97*'Totals and MOU%s'!$C$26</f>
        <v>607298.4582772234</v>
      </c>
      <c r="F97" s="30">
        <f>N97*'Totals and MOU%s'!$C$26</f>
        <v>607298.09650629514</v>
      </c>
      <c r="G97" s="75">
        <f t="shared" si="14"/>
        <v>0.36177092825528234</v>
      </c>
      <c r="H97" s="25">
        <f>C97*'Totals and MOU%s'!$D$26</f>
        <v>139586.74341719071</v>
      </c>
      <c r="I97" s="30">
        <f>N97*'Totals and MOU%s'!$D$26</f>
        <v>139586.6602646237</v>
      </c>
      <c r="J97" s="75">
        <f t="shared" si="15"/>
        <v>8.3152567007346079E-2</v>
      </c>
      <c r="K97" s="73">
        <f>C97*'Totals and MOU%s'!$E$26</f>
        <v>273857.90728795185</v>
      </c>
      <c r="L97" s="73">
        <f t="shared" si="11"/>
        <v>1767628.3106767798</v>
      </c>
      <c r="M97" s="100" t="e">
        <f>_xlfn.XLOOKUP(B97,#REF!,#REF!)</f>
        <v>#REF!</v>
      </c>
      <c r="N97" s="100">
        <v>6.3800599999999999E-3</v>
      </c>
      <c r="O97" s="92" t="str">
        <f t="shared" si="12"/>
        <v>Allocation Match</v>
      </c>
      <c r="P97" s="91">
        <f t="shared" si="13"/>
        <v>0</v>
      </c>
    </row>
    <row r="98" spans="1:16" x14ac:dyDescent="0.25">
      <c r="A98" t="s">
        <v>103</v>
      </c>
      <c r="B98" s="76" t="s">
        <v>285</v>
      </c>
      <c r="C98" s="99">
        <v>4.1000410004099997E-3</v>
      </c>
      <c r="D98" s="91">
        <f t="shared" si="10"/>
        <v>4.1000400000000001E-3</v>
      </c>
      <c r="E98" s="25">
        <f>C98*'Totals and MOU%s'!$C$26</f>
        <v>390270.16911232163</v>
      </c>
      <c r="F98" s="30">
        <f>N98*'Totals and MOU%s'!$C$26</f>
        <v>390270.07388640079</v>
      </c>
      <c r="G98" s="75">
        <f t="shared" si="14"/>
        <v>9.5225920842494816E-2</v>
      </c>
      <c r="H98" s="25">
        <f>C98*'Totals and MOU%s'!$D$26</f>
        <v>89703.079625467246</v>
      </c>
      <c r="I98" s="30">
        <f>N98*'Totals and MOU%s'!$D$26</f>
        <v>89703.057737915908</v>
      </c>
      <c r="J98" s="75">
        <f t="shared" si="15"/>
        <v>2.1887551338295452E-2</v>
      </c>
      <c r="K98" s="73">
        <f>C98*'Totals and MOU%s'!$E$26</f>
        <v>175990.19120385591</v>
      </c>
      <c r="L98" s="73">
        <f t="shared" si="11"/>
        <v>1135936.6886794339</v>
      </c>
      <c r="M98" s="100" t="e">
        <f>_xlfn.XLOOKUP(B98,#REF!,#REF!)</f>
        <v>#REF!</v>
      </c>
      <c r="N98" s="100">
        <v>4.1000400000000001E-3</v>
      </c>
      <c r="O98" s="92" t="str">
        <f t="shared" si="12"/>
        <v>Allocation Match</v>
      </c>
      <c r="P98" s="91">
        <f t="shared" si="13"/>
        <v>0</v>
      </c>
    </row>
    <row r="99" spans="1:16" x14ac:dyDescent="0.25">
      <c r="A99" t="s">
        <v>104</v>
      </c>
      <c r="B99" s="76" t="s">
        <v>286</v>
      </c>
      <c r="C99" s="99">
        <v>3.2900329003290002E-3</v>
      </c>
      <c r="D99" s="91">
        <f t="shared" si="10"/>
        <v>3.2900300000000002E-3</v>
      </c>
      <c r="E99" s="25">
        <f>C99*'Totals and MOU%s'!$C$26</f>
        <v>313168.01375110692</v>
      </c>
      <c r="F99" s="30">
        <f>N99*'Totals and MOU%s'!$C$26</f>
        <v>313167.73767779709</v>
      </c>
      <c r="G99" s="75">
        <f t="shared" si="14"/>
        <v>0.2760733098257333</v>
      </c>
      <c r="H99" s="25">
        <f>C99*'Totals and MOU%s'!$D$26</f>
        <v>71981.251699460307</v>
      </c>
      <c r="I99" s="30">
        <f>N99*'Totals and MOU%s'!$D$26</f>
        <v>71981.188244377001</v>
      </c>
      <c r="J99" s="75">
        <f t="shared" si="15"/>
        <v>6.3455083305598237E-2</v>
      </c>
      <c r="K99" s="73">
        <f>C99*'Totals and MOU%s'!$E$26</f>
        <v>141221.39733187464</v>
      </c>
      <c r="L99" s="73">
        <f t="shared" si="11"/>
        <v>911519.92823300906</v>
      </c>
      <c r="M99" s="100" t="e">
        <f>_xlfn.XLOOKUP(B99,#REF!,#REF!)</f>
        <v>#REF!</v>
      </c>
      <c r="N99" s="100">
        <v>3.2900300000000002E-3</v>
      </c>
      <c r="O99" s="92" t="str">
        <f t="shared" si="12"/>
        <v>Allocation Match</v>
      </c>
      <c r="P99" s="91">
        <f t="shared" si="13"/>
        <v>0</v>
      </c>
    </row>
    <row r="100" spans="1:16" x14ac:dyDescent="0.25">
      <c r="A100" t="s">
        <v>105</v>
      </c>
      <c r="B100" s="76" t="s">
        <v>105</v>
      </c>
      <c r="C100" s="99">
        <v>3.9500395003950004E-3</v>
      </c>
      <c r="D100" s="91">
        <f t="shared" si="10"/>
        <v>3.9500400000000001E-3</v>
      </c>
      <c r="E100" s="25">
        <f>C100*'Totals and MOU%s'!$C$26</f>
        <v>375991.99219357822</v>
      </c>
      <c r="F100" s="30">
        <f>N100*'Totals and MOU%s'!$C$26</f>
        <v>375992.03974942653</v>
      </c>
      <c r="G100" s="75">
        <f t="shared" si="14"/>
        <v>-4.7555848315823823E-2</v>
      </c>
      <c r="H100" s="25">
        <f>C100*'Totals and MOU%s'!$D$26</f>
        <v>86421.259639169672</v>
      </c>
      <c r="I100" s="30">
        <f>N100*'Totals and MOU%s'!$D$26</f>
        <v>86421.270569818196</v>
      </c>
      <c r="J100" s="75">
        <f t="shared" si="15"/>
        <v>-1.0930648524663411E-2</v>
      </c>
      <c r="K100" s="73">
        <f>C100*'Totals and MOU%s'!$E$26</f>
        <v>169551.52567200756</v>
      </c>
      <c r="L100" s="73">
        <f t="shared" si="11"/>
        <v>1094378.0293375035</v>
      </c>
      <c r="M100" s="100" t="e">
        <f>_xlfn.XLOOKUP(B100,#REF!,#REF!)</f>
        <v>#REF!</v>
      </c>
      <c r="N100" s="100">
        <v>3.9500400000000001E-3</v>
      </c>
      <c r="O100" s="92" t="str">
        <f t="shared" si="12"/>
        <v>Allocation Match</v>
      </c>
      <c r="P100" s="91">
        <f t="shared" si="13"/>
        <v>0</v>
      </c>
    </row>
    <row r="101" spans="1:16" x14ac:dyDescent="0.25">
      <c r="A101" t="s">
        <v>106</v>
      </c>
      <c r="B101" s="76" t="s">
        <v>287</v>
      </c>
      <c r="C101" s="99">
        <v>7.5000750007500096E-3</v>
      </c>
      <c r="D101" s="91">
        <f t="shared" si="10"/>
        <v>7.5000800000000001E-3</v>
      </c>
      <c r="E101" s="25">
        <f>C101*'Totals and MOU%s'!$C$26</f>
        <v>713908.84593717474</v>
      </c>
      <c r="F101" s="30">
        <f>N101*'Totals and MOU%s'!$C$26</f>
        <v>713909.32180025487</v>
      </c>
      <c r="G101" s="75">
        <f t="shared" si="14"/>
        <v>-0.47586308012250811</v>
      </c>
      <c r="H101" s="25">
        <f>C101*'Totals and MOU%s'!$D$26</f>
        <v>164090.99931487933</v>
      </c>
      <c r="I101" s="30">
        <f>N101*'Totals and MOU%s'!$D$26</f>
        <v>164091.10869137579</v>
      </c>
      <c r="J101" s="75">
        <f t="shared" si="15"/>
        <v>-0.10937649646075442</v>
      </c>
      <c r="K101" s="73">
        <f>C101*'Totals and MOU%s'!$E$26</f>
        <v>321933.27659241977</v>
      </c>
      <c r="L101" s="73">
        <f t="shared" si="11"/>
        <v>2077932.9670965278</v>
      </c>
      <c r="M101" s="100" t="e">
        <f>_xlfn.XLOOKUP(B101,#REF!,#REF!)</f>
        <v>#REF!</v>
      </c>
      <c r="N101" s="100">
        <v>7.5000800000000001E-3</v>
      </c>
      <c r="O101" s="92" t="str">
        <f t="shared" si="12"/>
        <v>Allocation Match</v>
      </c>
      <c r="P101" s="91">
        <f t="shared" si="13"/>
        <v>0</v>
      </c>
    </row>
    <row r="102" spans="1:16" x14ac:dyDescent="0.25">
      <c r="A102" t="s">
        <v>107</v>
      </c>
      <c r="B102" s="76" t="s">
        <v>107</v>
      </c>
      <c r="C102" s="99">
        <v>1.860018600186E-3</v>
      </c>
      <c r="D102" s="91">
        <f t="shared" si="10"/>
        <v>1.86002E-3</v>
      </c>
      <c r="E102" s="25">
        <f>C102*'Totals and MOU%s'!$C$26</f>
        <v>177049.39379241911</v>
      </c>
      <c r="F102" s="30">
        <f>N102*'Totals and MOU%s'!$C$26</f>
        <v>177049.52703636629</v>
      </c>
      <c r="G102" s="75">
        <f t="shared" si="14"/>
        <v>-0.13324394717346877</v>
      </c>
      <c r="H102" s="25">
        <f>C102*'Totals and MOU%s'!$D$26</f>
        <v>40694.567830090018</v>
      </c>
      <c r="I102" s="30">
        <f>N102*'Totals and MOU%s'!$D$26</f>
        <v>40694.598456034175</v>
      </c>
      <c r="J102" s="75">
        <f t="shared" si="15"/>
        <v>-3.062594415678177E-2</v>
      </c>
      <c r="K102" s="73">
        <f>C102*'Totals and MOU%s'!$E$26</f>
        <v>79839.452594920003</v>
      </c>
      <c r="L102" s="73">
        <f t="shared" si="11"/>
        <v>515327.37583993824</v>
      </c>
      <c r="M102" s="100" t="e">
        <f>_xlfn.XLOOKUP(B102,#REF!,#REF!)</f>
        <v>#REF!</v>
      </c>
      <c r="N102" s="100">
        <v>1.86002E-3</v>
      </c>
      <c r="O102" s="92" t="str">
        <f t="shared" si="12"/>
        <v>Allocation Match</v>
      </c>
      <c r="P102" s="91">
        <f t="shared" si="13"/>
        <v>0</v>
      </c>
    </row>
    <row r="103" spans="1:16" x14ac:dyDescent="0.25">
      <c r="A103" t="s">
        <v>108</v>
      </c>
      <c r="B103" s="76" t="s">
        <v>108</v>
      </c>
      <c r="C103" s="99">
        <v>1.9370193701936999E-2</v>
      </c>
      <c r="D103" s="91">
        <f t="shared" ref="D103:D134" si="16">ROUND(C103,8)</f>
        <v>1.9370189999999999E-2</v>
      </c>
      <c r="E103" s="25">
        <f>C103*'Totals and MOU%s'!$C$26</f>
        <v>1843788.5794404075</v>
      </c>
      <c r="F103" s="30">
        <f>N103*'Totals and MOU%s'!$C$26</f>
        <v>1843789.1789334642</v>
      </c>
      <c r="G103" s="75">
        <f t="shared" si="14"/>
        <v>-0.59949305676855147</v>
      </c>
      <c r="H103" s="25">
        <f>C103*'Totals and MOU%s'!$D$26</f>
        <v>423792.35423056112</v>
      </c>
      <c r="I103" s="30">
        <f>N103*'Totals and MOU%s'!$D$26</f>
        <v>423792.49202324339</v>
      </c>
      <c r="J103" s="75">
        <f t="shared" si="15"/>
        <v>-0.13779268227517605</v>
      </c>
      <c r="K103" s="73">
        <f>C103*'Totals and MOU%s'!$E$26</f>
        <v>831446.34234602167</v>
      </c>
      <c r="L103" s="73">
        <f t="shared" ref="L103:L134" si="17">SUM(E103:K103)</f>
        <v>5366608.2096879594</v>
      </c>
      <c r="M103" s="100" t="e">
        <f>_xlfn.XLOOKUP(B103,#REF!,#REF!)</f>
        <v>#REF!</v>
      </c>
      <c r="N103" s="100">
        <v>1.9370200000000001E-2</v>
      </c>
      <c r="O103" s="92" t="str">
        <f t="shared" ref="O103:O134" si="18">IF(N103=D103,"Allocation Match","Difference")</f>
        <v>Difference</v>
      </c>
      <c r="P103" s="91">
        <f t="shared" ref="P103:P139" si="19">N103-D103</f>
        <v>1.0000000001675335E-8</v>
      </c>
    </row>
    <row r="104" spans="1:16" x14ac:dyDescent="0.25">
      <c r="A104" t="s">
        <v>109</v>
      </c>
      <c r="B104" s="76" t="s">
        <v>288</v>
      </c>
      <c r="C104" s="99">
        <v>2.6200262002619998E-3</v>
      </c>
      <c r="D104" s="91">
        <f t="shared" si="16"/>
        <v>2.6200300000000002E-3</v>
      </c>
      <c r="E104" s="25">
        <f>C104*'Totals and MOU%s'!$C$26</f>
        <v>249392.15684738604</v>
      </c>
      <c r="F104" s="30">
        <f>N104*'Totals and MOU%s'!$C$26</f>
        <v>249392.51853264522</v>
      </c>
      <c r="G104" s="75">
        <f t="shared" si="14"/>
        <v>-0.36168525918037631</v>
      </c>
      <c r="H104" s="25">
        <f>C104*'Totals and MOU%s'!$D$26</f>
        <v>57322.45576066443</v>
      </c>
      <c r="I104" s="30">
        <f>N104*'Totals and MOU%s'!$D$26</f>
        <v>57322.538893540514</v>
      </c>
      <c r="J104" s="75">
        <f t="shared" si="15"/>
        <v>-8.3132876083254814E-2</v>
      </c>
      <c r="K104" s="73">
        <f>C104*'Totals and MOU%s'!$E$26</f>
        <v>112462.02462295182</v>
      </c>
      <c r="L104" s="73">
        <f t="shared" si="17"/>
        <v>725891.24983905279</v>
      </c>
      <c r="M104" s="100" t="e">
        <f>_xlfn.XLOOKUP(B104,#REF!,#REF!)</f>
        <v>#REF!</v>
      </c>
      <c r="N104" s="100">
        <v>2.6200300000000002E-3</v>
      </c>
      <c r="O104" s="92" t="str">
        <f t="shared" si="18"/>
        <v>Allocation Match</v>
      </c>
      <c r="P104" s="91">
        <f t="shared" si="19"/>
        <v>0</v>
      </c>
    </row>
    <row r="105" spans="1:16" x14ac:dyDescent="0.25">
      <c r="A105" t="s">
        <v>110</v>
      </c>
      <c r="B105" s="76" t="s">
        <v>289</v>
      </c>
      <c r="C105" s="99">
        <v>1.9000190001899999E-3</v>
      </c>
      <c r="D105" s="91">
        <f t="shared" si="16"/>
        <v>1.9000200000000001E-3</v>
      </c>
      <c r="E105" s="25">
        <f>C105*'Totals and MOU%s'!$C$26</f>
        <v>180856.90763741735</v>
      </c>
      <c r="F105" s="30">
        <f>N105*'Totals and MOU%s'!$C$26</f>
        <v>180857.00280622611</v>
      </c>
      <c r="G105" s="75">
        <f t="shared" si="14"/>
        <v>-9.5168808766175061E-2</v>
      </c>
      <c r="H105" s="25">
        <f>C105*'Totals and MOU%s'!$D$26</f>
        <v>41569.719826436041</v>
      </c>
      <c r="I105" s="30">
        <f>N105*'Totals and MOU%s'!$D$26</f>
        <v>41569.741700860235</v>
      </c>
      <c r="J105" s="75">
        <f t="shared" si="15"/>
        <v>-2.1874424193811137E-2</v>
      </c>
      <c r="K105" s="73">
        <f>C105*'Totals and MOU%s'!$E$26</f>
        <v>81556.430070079572</v>
      </c>
      <c r="L105" s="73">
        <f t="shared" si="17"/>
        <v>526409.6849977863</v>
      </c>
      <c r="M105" s="100" t="e">
        <f>_xlfn.XLOOKUP(B105,#REF!,#REF!)</f>
        <v>#REF!</v>
      </c>
      <c r="N105" s="100">
        <v>1.9000200000000001E-3</v>
      </c>
      <c r="O105" s="92" t="str">
        <f t="shared" si="18"/>
        <v>Allocation Match</v>
      </c>
      <c r="P105" s="91">
        <f t="shared" si="19"/>
        <v>0</v>
      </c>
    </row>
    <row r="106" spans="1:16" x14ac:dyDescent="0.25">
      <c r="A106" t="s">
        <v>111</v>
      </c>
      <c r="B106" s="76" t="s">
        <v>290</v>
      </c>
      <c r="C106" s="99">
        <v>3.510035100351E-3</v>
      </c>
      <c r="D106" s="91">
        <f t="shared" si="16"/>
        <v>3.5100399999999999E-3</v>
      </c>
      <c r="E106" s="25">
        <f>C106*'Totals and MOU%s'!$C$26</f>
        <v>334109.33989859733</v>
      </c>
      <c r="F106" s="30">
        <f>N106*'Totals and MOU%s'!$C$26</f>
        <v>334109.80628096854</v>
      </c>
      <c r="G106" s="75">
        <f t="shared" si="14"/>
        <v>-0.46638237120350823</v>
      </c>
      <c r="H106" s="25">
        <f>C106*'Totals and MOU%s'!$D$26</f>
        <v>76794.587679363423</v>
      </c>
      <c r="I106" s="30">
        <f>N106*'Totals and MOU%s'!$D$26</f>
        <v>76794.694876731533</v>
      </c>
      <c r="J106" s="75">
        <f t="shared" si="15"/>
        <v>-0.10719736811006442</v>
      </c>
      <c r="K106" s="73">
        <f>C106*'Totals and MOU%s'!$E$26</f>
        <v>150664.77344525227</v>
      </c>
      <c r="L106" s="73">
        <f t="shared" si="17"/>
        <v>972472.62860117387</v>
      </c>
      <c r="M106" s="100" t="e">
        <f>_xlfn.XLOOKUP(B106,#REF!,#REF!)</f>
        <v>#REF!</v>
      </c>
      <c r="N106" s="100">
        <v>3.5100399999999999E-3</v>
      </c>
      <c r="O106" s="92" t="str">
        <f t="shared" si="18"/>
        <v>Allocation Match</v>
      </c>
      <c r="P106" s="91">
        <f t="shared" si="19"/>
        <v>0</v>
      </c>
    </row>
    <row r="107" spans="1:16" x14ac:dyDescent="0.25">
      <c r="A107" t="s">
        <v>112</v>
      </c>
      <c r="B107" s="76" t="s">
        <v>291</v>
      </c>
      <c r="C107" s="99">
        <v>3.5560355603555999E-2</v>
      </c>
      <c r="D107" s="91">
        <f t="shared" si="16"/>
        <v>3.5560359999999999E-2</v>
      </c>
      <c r="E107" s="25">
        <f>C107*'Totals and MOU%s'!$C$26</f>
        <v>3384879.8082034532</v>
      </c>
      <c r="F107" s="30">
        <f>N107*'Totals and MOU%s'!$C$26</f>
        <v>3384884.0341630732</v>
      </c>
      <c r="G107" s="75">
        <f t="shared" si="14"/>
        <v>-4.2259596199728549</v>
      </c>
      <c r="H107" s="25">
        <f>C107*'Totals and MOU%s'!$D$26</f>
        <v>778010.12475161348</v>
      </c>
      <c r="I107" s="30">
        <f>N107*'Totals and MOU%s'!$D$26</f>
        <v>778011.09608281497</v>
      </c>
      <c r="J107" s="75">
        <f t="shared" si="15"/>
        <v>-0.97133120149374008</v>
      </c>
      <c r="K107" s="73">
        <f>C107*'Totals and MOU%s'!$E$26</f>
        <v>1526392.9754168577</v>
      </c>
      <c r="L107" s="73">
        <f t="shared" si="17"/>
        <v>9852172.8413269911</v>
      </c>
      <c r="M107" s="100" t="e">
        <f>_xlfn.XLOOKUP(B107,#REF!,#REF!)</f>
        <v>#REF!</v>
      </c>
      <c r="N107" s="100">
        <v>3.5560399999999999E-2</v>
      </c>
      <c r="O107" s="92" t="str">
        <f t="shared" si="18"/>
        <v>Difference</v>
      </c>
      <c r="P107" s="91">
        <f t="shared" si="19"/>
        <v>3.9999999999762448E-8</v>
      </c>
    </row>
    <row r="108" spans="1:16" x14ac:dyDescent="0.25">
      <c r="A108" t="s">
        <v>113</v>
      </c>
      <c r="B108" s="76" t="s">
        <v>292</v>
      </c>
      <c r="C108" s="99">
        <v>1.0610106101060999E-2</v>
      </c>
      <c r="D108" s="91">
        <f t="shared" si="16"/>
        <v>1.0610110000000001E-2</v>
      </c>
      <c r="E108" s="25">
        <f>C108*'Totals and MOU%s'!$C$26</f>
        <v>1009943.0473857884</v>
      </c>
      <c r="F108" s="30">
        <f>N108*'Totals and MOU%s'!$C$26</f>
        <v>1009942.4666447404</v>
      </c>
      <c r="G108" s="75">
        <f t="shared" si="14"/>
        <v>0.58074104797560722</v>
      </c>
      <c r="H108" s="25">
        <f>C108*'Totals and MOU%s'!$D$26</f>
        <v>232134.06703078229</v>
      </c>
      <c r="I108" s="30">
        <f>N108*'Totals and MOU%s'!$D$26</f>
        <v>232133.93354822433</v>
      </c>
      <c r="J108" s="75">
        <f t="shared" si="15"/>
        <v>0.13348255795426667</v>
      </c>
      <c r="K108" s="73">
        <f>C108*'Totals and MOU%s'!$E$26</f>
        <v>455428.27528607589</v>
      </c>
      <c r="L108" s="73">
        <f t="shared" si="17"/>
        <v>2939582.5041192165</v>
      </c>
      <c r="M108" s="100" t="e">
        <f>_xlfn.XLOOKUP(B108,#REF!,#REF!)</f>
        <v>#REF!</v>
      </c>
      <c r="N108" s="100">
        <v>1.0610100000000001E-2</v>
      </c>
      <c r="O108" s="92" t="str">
        <f t="shared" si="18"/>
        <v>Difference</v>
      </c>
      <c r="P108" s="91">
        <f t="shared" si="19"/>
        <v>-9.9999999999406119E-9</v>
      </c>
    </row>
    <row r="109" spans="1:16" x14ac:dyDescent="0.25">
      <c r="A109" t="s">
        <v>114</v>
      </c>
      <c r="B109" s="76" t="s">
        <v>114</v>
      </c>
      <c r="C109" s="99">
        <v>2.4700247002470001E-3</v>
      </c>
      <c r="D109" s="91">
        <f t="shared" si="16"/>
        <v>2.4700199999999999E-3</v>
      </c>
      <c r="E109" s="25">
        <f>C109*'Totals and MOU%s'!$C$26</f>
        <v>235113.97992864257</v>
      </c>
      <c r="F109" s="30">
        <f>N109*'Totals and MOU%s'!$C$26</f>
        <v>235113.53252672844</v>
      </c>
      <c r="G109" s="75">
        <f t="shared" si="14"/>
        <v>0.44740191413438879</v>
      </c>
      <c r="H109" s="25">
        <f>C109*'Totals and MOU%s'!$D$26</f>
        <v>54040.635774366856</v>
      </c>
      <c r="I109" s="30">
        <f>N109*'Totals and MOU%s'!$D$26</f>
        <v>54040.532939631572</v>
      </c>
      <c r="J109" s="75">
        <f t="shared" si="15"/>
        <v>0.10283473528397735</v>
      </c>
      <c r="K109" s="73">
        <f>C109*'Totals and MOU%s'!$E$26</f>
        <v>106023.35909110346</v>
      </c>
      <c r="L109" s="73">
        <f t="shared" si="17"/>
        <v>684332.59049712226</v>
      </c>
      <c r="M109" s="100" t="e">
        <f>_xlfn.XLOOKUP(B109,#REF!,#REF!)</f>
        <v>#REF!</v>
      </c>
      <c r="N109" s="100">
        <v>2.4700199999999999E-3</v>
      </c>
      <c r="O109" s="92" t="str">
        <f t="shared" si="18"/>
        <v>Allocation Match</v>
      </c>
      <c r="P109" s="91">
        <f t="shared" si="19"/>
        <v>0</v>
      </c>
    </row>
    <row r="110" spans="1:16" x14ac:dyDescent="0.25">
      <c r="A110" t="s">
        <v>115</v>
      </c>
      <c r="B110" s="76" t="s">
        <v>293</v>
      </c>
      <c r="C110" s="99">
        <v>9.1000910009099998E-4</v>
      </c>
      <c r="D110" s="91">
        <f t="shared" si="16"/>
        <v>9.1001000000000005E-4</v>
      </c>
      <c r="E110" s="25">
        <f>C110*'Totals and MOU%s'!$C$26</f>
        <v>86620.939973710425</v>
      </c>
      <c r="F110" s="30">
        <f>N110*'Totals and MOU%s'!$C$26</f>
        <v>86620.930446358994</v>
      </c>
      <c r="G110" s="75">
        <f t="shared" si="14"/>
        <v>9.5273514307336882E-3</v>
      </c>
      <c r="H110" s="25">
        <f>C110*'Totals and MOU%s'!$D$26</f>
        <v>19909.707916871997</v>
      </c>
      <c r="I110" s="30">
        <f>N110*'Totals and MOU%s'!$D$26</f>
        <v>19909.705727022938</v>
      </c>
      <c r="J110" s="75">
        <f t="shared" si="15"/>
        <v>2.1898490595049225E-3</v>
      </c>
      <c r="K110" s="73">
        <f>C110*'Totals and MOU%s'!$E$26</f>
        <v>39061.237559880217</v>
      </c>
      <c r="L110" s="73">
        <f t="shared" si="17"/>
        <v>252122.53334104505</v>
      </c>
      <c r="M110" s="100" t="e">
        <f>_xlfn.XLOOKUP(B110,#REF!,#REF!)</f>
        <v>#REF!</v>
      </c>
      <c r="N110" s="100">
        <v>9.1000900000000003E-4</v>
      </c>
      <c r="O110" s="92" t="str">
        <f t="shared" si="18"/>
        <v>Difference</v>
      </c>
      <c r="P110" s="91">
        <f t="shared" si="19"/>
        <v>-1.0000000000157452E-9</v>
      </c>
    </row>
    <row r="111" spans="1:16" x14ac:dyDescent="0.25">
      <c r="A111" t="s">
        <v>117</v>
      </c>
      <c r="B111" s="76" t="s">
        <v>117</v>
      </c>
      <c r="C111" s="99">
        <v>4.2250422504224998E-2</v>
      </c>
      <c r="D111" s="91">
        <f t="shared" si="16"/>
        <v>4.2250419999999997E-2</v>
      </c>
      <c r="E111" s="25">
        <f>C111*'Totals and MOU%s'!$C$26</f>
        <v>4021686.4987794124</v>
      </c>
      <c r="F111" s="30">
        <f>N111*'Totals and MOU%s'!$C$26</f>
        <v>4021684.3566721273</v>
      </c>
      <c r="G111" s="75">
        <f t="shared" si="14"/>
        <v>2.1421072850935161</v>
      </c>
      <c r="H111" s="25">
        <f>C111*'Totals and MOU%s'!$D$26</f>
        <v>924379.29614048556</v>
      </c>
      <c r="I111" s="30">
        <f>N111*'Totals and MOU%s'!$D$26</f>
        <v>924378.80377997342</v>
      </c>
      <c r="J111" s="75">
        <f t="shared" si="15"/>
        <v>0.49236051214393228</v>
      </c>
      <c r="K111" s="73">
        <f>C111*'Totals and MOU%s'!$E$26</f>
        <v>1813557.4581372957</v>
      </c>
      <c r="L111" s="73">
        <f t="shared" si="17"/>
        <v>11705689.047977092</v>
      </c>
      <c r="M111" s="100" t="e">
        <f>_xlfn.XLOOKUP(B111,#REF!,#REF!)</f>
        <v>#REF!</v>
      </c>
      <c r="N111" s="100">
        <v>4.22504E-2</v>
      </c>
      <c r="O111" s="92" t="str">
        <f t="shared" si="18"/>
        <v>Difference</v>
      </c>
      <c r="P111" s="91">
        <f t="shared" si="19"/>
        <v>-1.9999999996411777E-8</v>
      </c>
    </row>
    <row r="112" spans="1:16" x14ac:dyDescent="0.25">
      <c r="A112" t="s">
        <v>116</v>
      </c>
      <c r="B112" s="76" t="s">
        <v>294</v>
      </c>
      <c r="C112" s="99">
        <v>8.4000840008400005E-4</v>
      </c>
      <c r="D112" s="91">
        <f t="shared" si="16"/>
        <v>8.4000999999999998E-4</v>
      </c>
      <c r="E112" s="25">
        <f>C112*'Totals and MOU%s'!$C$26</f>
        <v>79957.790744963466</v>
      </c>
      <c r="F112" s="30">
        <f>N112*'Totals and MOU%s'!$C$26</f>
        <v>79957.75266221007</v>
      </c>
      <c r="G112" s="75">
        <f t="shared" si="14"/>
        <v>3.8082753395428881E-2</v>
      </c>
      <c r="H112" s="25">
        <f>C112*'Totals and MOU%s'!$D$26</f>
        <v>18378.191923266462</v>
      </c>
      <c r="I112" s="30">
        <f>N112*'Totals and MOU%s'!$D$26</f>
        <v>18378.183169996213</v>
      </c>
      <c r="J112" s="75">
        <f t="shared" si="15"/>
        <v>8.753270249144407E-3</v>
      </c>
      <c r="K112" s="73">
        <f>C112*'Totals and MOU%s'!$E$26</f>
        <v>36056.526978350972</v>
      </c>
      <c r="L112" s="73">
        <f t="shared" si="17"/>
        <v>232728.49231481084</v>
      </c>
      <c r="M112" s="100" t="e">
        <f>_xlfn.XLOOKUP(B112,#REF!,#REF!)</f>
        <v>#REF!</v>
      </c>
      <c r="N112" s="100">
        <v>8.4000800000000005E-4</v>
      </c>
      <c r="O112" s="92" t="str">
        <f t="shared" si="18"/>
        <v>Difference</v>
      </c>
      <c r="P112" s="91">
        <f t="shared" si="19"/>
        <v>-1.9999999999230703E-9</v>
      </c>
    </row>
    <row r="113" spans="1:16" x14ac:dyDescent="0.25">
      <c r="A113" t="s">
        <v>119</v>
      </c>
      <c r="B113" s="76" t="s">
        <v>119</v>
      </c>
      <c r="C113" s="99">
        <v>1.8590185901858999E-2</v>
      </c>
      <c r="D113" s="91">
        <f t="shared" si="16"/>
        <v>1.8590189999999999E-2</v>
      </c>
      <c r="E113" s="25">
        <f>C113*'Totals and MOU%s'!$C$26</f>
        <v>1769542.0594629415</v>
      </c>
      <c r="F113" s="30">
        <f>N113*'Totals and MOU%s'!$C$26</f>
        <v>1769543.4014211979</v>
      </c>
      <c r="G113" s="75">
        <f t="shared" si="14"/>
        <v>-1.3419582564383745</v>
      </c>
      <c r="H113" s="25">
        <f>C113*'Totals and MOU%s'!$D$26</f>
        <v>406726.89030181366</v>
      </c>
      <c r="I113" s="30">
        <f>N113*'Totals and MOU%s'!$D$26</f>
        <v>406727.19874913525</v>
      </c>
      <c r="J113" s="75">
        <f t="shared" si="15"/>
        <v>-0.3084473215858452</v>
      </c>
      <c r="K113" s="73">
        <f>C113*'Totals and MOU%s'!$E$26</f>
        <v>797965.28158041008</v>
      </c>
      <c r="L113" s="73">
        <f t="shared" si="17"/>
        <v>5150503.1811099201</v>
      </c>
      <c r="M113" s="100" t="e">
        <f>_xlfn.XLOOKUP(B113,#REF!,#REF!)</f>
        <v>#REF!</v>
      </c>
      <c r="N113" s="100">
        <v>1.8590200000000001E-2</v>
      </c>
      <c r="O113" s="92" t="str">
        <f t="shared" si="18"/>
        <v>Difference</v>
      </c>
      <c r="P113" s="91">
        <f t="shared" si="19"/>
        <v>1.0000000001675335E-8</v>
      </c>
    </row>
    <row r="114" spans="1:16" x14ac:dyDescent="0.25">
      <c r="A114" t="s">
        <v>118</v>
      </c>
      <c r="B114" s="76" t="s">
        <v>295</v>
      </c>
      <c r="C114" s="99">
        <v>1.4980149801498E-2</v>
      </c>
      <c r="D114" s="91">
        <f t="shared" si="16"/>
        <v>1.4980149999999999E-2</v>
      </c>
      <c r="E114" s="25">
        <f>C114*'Totals and MOU%s'!$C$26</f>
        <v>1425913.9349518484</v>
      </c>
      <c r="F114" s="30">
        <f>N114*'Totals and MOU%s'!$C$26</f>
        <v>1425909.194501925</v>
      </c>
      <c r="G114" s="75">
        <f t="shared" si="14"/>
        <v>4.7404499233234674</v>
      </c>
      <c r="H114" s="25">
        <f>C114*'Totals and MOU%s'!$D$26</f>
        <v>327744.42263158521</v>
      </c>
      <c r="I114" s="30">
        <f>N114*'Totals and MOU%s'!$D$26</f>
        <v>327743.33304547129</v>
      </c>
      <c r="J114" s="75">
        <f t="shared" si="15"/>
        <v>1.0895861139288172</v>
      </c>
      <c r="K114" s="73">
        <f>C114*'Totals and MOU%s'!$E$26</f>
        <v>643008.06444725895</v>
      </c>
      <c r="L114" s="73">
        <f t="shared" si="17"/>
        <v>4150324.7796141263</v>
      </c>
      <c r="M114" s="100" t="e">
        <f>_xlfn.XLOOKUP(B114,#REF!,#REF!)</f>
        <v>#REF!</v>
      </c>
      <c r="N114" s="100">
        <v>1.49801E-2</v>
      </c>
      <c r="O114" s="92" t="str">
        <f t="shared" si="18"/>
        <v>Difference</v>
      </c>
      <c r="P114" s="91">
        <f t="shared" si="19"/>
        <v>-4.999999999970306E-8</v>
      </c>
    </row>
    <row r="115" spans="1:16" x14ac:dyDescent="0.25">
      <c r="A115" t="s">
        <v>120</v>
      </c>
      <c r="B115" s="76" t="s">
        <v>296</v>
      </c>
      <c r="C115" s="99">
        <v>2.3500235002349998E-3</v>
      </c>
      <c r="D115" s="91">
        <f t="shared" si="16"/>
        <v>2.35002E-3</v>
      </c>
      <c r="E115" s="25">
        <f>C115*'Totals and MOU%s'!$C$26</f>
        <v>223691.43839364778</v>
      </c>
      <c r="F115" s="30">
        <f>N115*'Totals and MOU%s'!$C$26</f>
        <v>223691.10521714902</v>
      </c>
      <c r="G115" s="75">
        <f t="shared" si="14"/>
        <v>0.33317649876698852</v>
      </c>
      <c r="H115" s="25">
        <f>C115*'Totals and MOU%s'!$D$26</f>
        <v>51415.179785328786</v>
      </c>
      <c r="I115" s="30">
        <f>N115*'Totals and MOU%s'!$D$26</f>
        <v>51415.103205153398</v>
      </c>
      <c r="J115" s="75">
        <f t="shared" si="15"/>
        <v>7.6580175387789495E-2</v>
      </c>
      <c r="K115" s="73">
        <f>C115*'Totals and MOU%s'!$E$26</f>
        <v>100872.42666562473</v>
      </c>
      <c r="L115" s="73">
        <f t="shared" si="17"/>
        <v>651085.66302357789</v>
      </c>
      <c r="M115" s="100" t="e">
        <f>_xlfn.XLOOKUP(B115,#REF!,#REF!)</f>
        <v>#REF!</v>
      </c>
      <c r="N115" s="100">
        <v>2.35002E-3</v>
      </c>
      <c r="O115" s="92" t="str">
        <f t="shared" si="18"/>
        <v>Allocation Match</v>
      </c>
      <c r="P115" s="91">
        <f t="shared" si="19"/>
        <v>0</v>
      </c>
    </row>
    <row r="116" spans="1:16" x14ac:dyDescent="0.25">
      <c r="A116" t="s">
        <v>121</v>
      </c>
      <c r="B116" s="76" t="s">
        <v>297</v>
      </c>
      <c r="C116" s="99">
        <v>6.1400614006140103E-3</v>
      </c>
      <c r="D116" s="91">
        <f t="shared" si="16"/>
        <v>6.1400600000000001E-3</v>
      </c>
      <c r="E116" s="25">
        <f>C116*'Totals and MOU%s'!$C$26</f>
        <v>584453.37520723394</v>
      </c>
      <c r="F116" s="30">
        <f>N116*'Totals and MOU%s'!$C$26</f>
        <v>584453.24188713625</v>
      </c>
      <c r="G116" s="75">
        <f t="shared" si="14"/>
        <v>0.13332009769510478</v>
      </c>
      <c r="H116" s="25">
        <f>C116*'Totals and MOU%s'!$D$26</f>
        <v>134335.83143911458</v>
      </c>
      <c r="I116" s="30">
        <f>N116*'Totals and MOU%s'!$D$26</f>
        <v>134335.80079566734</v>
      </c>
      <c r="J116" s="75">
        <f t="shared" si="15"/>
        <v>3.0643447244074196E-2</v>
      </c>
      <c r="K116" s="73">
        <f>C116*'Totals and MOU%s'!$E$26</f>
        <v>263556.04243699444</v>
      </c>
      <c r="L116" s="73">
        <f t="shared" si="17"/>
        <v>1701134.4557296915</v>
      </c>
      <c r="M116" s="100" t="e">
        <f>_xlfn.XLOOKUP(B116,#REF!,#REF!)</f>
        <v>#REF!</v>
      </c>
      <c r="N116" s="100">
        <v>6.1400600000000001E-3</v>
      </c>
      <c r="O116" s="92" t="str">
        <f t="shared" si="18"/>
        <v>Allocation Match</v>
      </c>
      <c r="P116" s="91">
        <f t="shared" si="19"/>
        <v>0</v>
      </c>
    </row>
    <row r="117" spans="1:16" x14ac:dyDescent="0.25">
      <c r="A117" t="s">
        <v>122</v>
      </c>
      <c r="B117" s="76" t="s">
        <v>298</v>
      </c>
      <c r="C117" s="99">
        <v>1.0640106401064E-2</v>
      </c>
      <c r="D117" s="91">
        <f t="shared" si="16"/>
        <v>1.0640109999999999E-2</v>
      </c>
      <c r="E117" s="25">
        <f>C117*'Totals and MOU%s'!$C$26</f>
        <v>1012798.6827695372</v>
      </c>
      <c r="F117" s="30">
        <f>N117*'Totals and MOU%s'!$C$26</f>
        <v>1012798.0734721351</v>
      </c>
      <c r="G117" s="75">
        <f t="shared" si="14"/>
        <v>0.60929740208666772</v>
      </c>
      <c r="H117" s="25">
        <f>C117*'Totals and MOU%s'!$D$26</f>
        <v>232790.43102804181</v>
      </c>
      <c r="I117" s="30">
        <f>N117*'Totals and MOU%s'!$D$26</f>
        <v>232790.29098184383</v>
      </c>
      <c r="J117" s="75">
        <f t="shared" si="15"/>
        <v>0.14004619797924533</v>
      </c>
      <c r="K117" s="73">
        <f>C117*'Totals and MOU%s'!$E$26</f>
        <v>456716.00839244563</v>
      </c>
      <c r="L117" s="73">
        <f t="shared" si="17"/>
        <v>2947894.2359876037</v>
      </c>
      <c r="M117" s="100" t="e">
        <f>_xlfn.XLOOKUP(B117,#REF!,#REF!)</f>
        <v>#REF!</v>
      </c>
      <c r="N117" s="100">
        <v>1.06401E-2</v>
      </c>
      <c r="O117" s="92" t="str">
        <f t="shared" si="18"/>
        <v>Difference</v>
      </c>
      <c r="P117" s="91">
        <f t="shared" si="19"/>
        <v>-9.9999999999406119E-9</v>
      </c>
    </row>
    <row r="118" spans="1:16" x14ac:dyDescent="0.25">
      <c r="A118" t="s">
        <v>123</v>
      </c>
      <c r="B118" s="76" t="s">
        <v>123</v>
      </c>
      <c r="C118" s="99">
        <v>7.8600786007860107E-3</v>
      </c>
      <c r="D118" s="91">
        <f t="shared" si="16"/>
        <v>7.8600800000000002E-3</v>
      </c>
      <c r="E118" s="25">
        <f>C118*'Totals and MOU%s'!$C$26</f>
        <v>748176.47054215916</v>
      </c>
      <c r="F118" s="30">
        <f>N118*'Totals and MOU%s'!$C$26</f>
        <v>748176.60372899321</v>
      </c>
      <c r="G118" s="75">
        <f t="shared" si="14"/>
        <v>-0.13318683404941112</v>
      </c>
      <c r="H118" s="25">
        <f>C118*'Totals and MOU%s'!$D$26</f>
        <v>171967.36728199353</v>
      </c>
      <c r="I118" s="30">
        <f>N118*'Totals and MOU%s'!$D$26</f>
        <v>171967.3978948103</v>
      </c>
      <c r="J118" s="75">
        <f t="shared" si="15"/>
        <v>-3.0612816772190854E-2</v>
      </c>
      <c r="K118" s="73">
        <f>C118*'Totals and MOU%s'!$E$26</f>
        <v>337386.07386885595</v>
      </c>
      <c r="L118" s="73">
        <f t="shared" si="17"/>
        <v>2177673.7495171614</v>
      </c>
      <c r="M118" s="100" t="e">
        <f>_xlfn.XLOOKUP(B118,#REF!,#REF!)</f>
        <v>#REF!</v>
      </c>
      <c r="N118" s="100">
        <v>7.8600800000000002E-3</v>
      </c>
      <c r="O118" s="92" t="str">
        <f t="shared" si="18"/>
        <v>Allocation Match</v>
      </c>
      <c r="P118" s="91">
        <f t="shared" si="19"/>
        <v>0</v>
      </c>
    </row>
    <row r="119" spans="1:16" x14ac:dyDescent="0.25">
      <c r="A119" t="s">
        <v>124</v>
      </c>
      <c r="B119" s="76" t="s">
        <v>299</v>
      </c>
      <c r="C119" s="99">
        <v>4.2100421004210003E-3</v>
      </c>
      <c r="D119" s="91">
        <f t="shared" si="16"/>
        <v>4.21004E-3</v>
      </c>
      <c r="E119" s="25">
        <f>C119*'Totals and MOU%s'!$C$26</f>
        <v>400740.83218606689</v>
      </c>
      <c r="F119" s="30">
        <f>N119*'Totals and MOU%s'!$C$26</f>
        <v>400740.6322535153</v>
      </c>
      <c r="G119" s="75">
        <f t="shared" si="14"/>
        <v>0.19993255159351975</v>
      </c>
      <c r="H119" s="25">
        <f>C119*'Totals and MOU%s'!$D$26</f>
        <v>92109.747615418819</v>
      </c>
      <c r="I119" s="30">
        <f>N119*'Totals and MOU%s'!$D$26</f>
        <v>92109.701661187573</v>
      </c>
      <c r="J119" s="75">
        <f t="shared" si="15"/>
        <v>4.595423124555964E-2</v>
      </c>
      <c r="K119" s="73">
        <f>C119*'Totals and MOU%s'!$E$26</f>
        <v>180711.87926054475</v>
      </c>
      <c r="L119" s="73">
        <f t="shared" si="17"/>
        <v>1166413.0388635162</v>
      </c>
      <c r="M119" s="100" t="e">
        <f>_xlfn.XLOOKUP(B119,#REF!,#REF!)</f>
        <v>#REF!</v>
      </c>
      <c r="N119" s="100">
        <v>4.21004E-3</v>
      </c>
      <c r="O119" s="92" t="str">
        <f t="shared" si="18"/>
        <v>Allocation Match</v>
      </c>
      <c r="P119" s="91">
        <f t="shared" si="19"/>
        <v>0</v>
      </c>
    </row>
    <row r="120" spans="1:16" x14ac:dyDescent="0.25">
      <c r="A120" t="s">
        <v>125</v>
      </c>
      <c r="B120" s="76" t="s">
        <v>300</v>
      </c>
      <c r="C120" s="99">
        <v>6.6000660006600102E-3</v>
      </c>
      <c r="D120" s="91">
        <f t="shared" si="16"/>
        <v>6.6000700000000004E-3</v>
      </c>
      <c r="E120" s="25">
        <f>C120*'Totals and MOU%s'!$C$26</f>
        <v>628239.78442471393</v>
      </c>
      <c r="F120" s="30">
        <f>N120*'Totals and MOU%s'!$C$26</f>
        <v>628240.16510946664</v>
      </c>
      <c r="G120" s="75">
        <f t="shared" si="14"/>
        <v>-0.38068475271575153</v>
      </c>
      <c r="H120" s="25">
        <f>C120*'Totals and MOU%s'!$D$26</f>
        <v>144400.07939709385</v>
      </c>
      <c r="I120" s="30">
        <f>N120*'Totals and MOU%s'!$D$26</f>
        <v>144400.16689697825</v>
      </c>
      <c r="J120" s="75">
        <f t="shared" si="15"/>
        <v>-8.749988439376466E-2</v>
      </c>
      <c r="K120" s="73">
        <f>C120*'Totals and MOU%s'!$E$26</f>
        <v>283301.28340132948</v>
      </c>
      <c r="L120" s="73">
        <f t="shared" si="17"/>
        <v>1828581.0110449449</v>
      </c>
      <c r="M120" s="100" t="e">
        <f>_xlfn.XLOOKUP(B120,#REF!,#REF!)</f>
        <v>#REF!</v>
      </c>
      <c r="N120" s="100">
        <v>6.6000700000000004E-3</v>
      </c>
      <c r="O120" s="92" t="str">
        <f t="shared" si="18"/>
        <v>Allocation Match</v>
      </c>
      <c r="P120" s="91">
        <f t="shared" si="19"/>
        <v>0</v>
      </c>
    </row>
    <row r="121" spans="1:16" x14ac:dyDescent="0.25">
      <c r="A121" t="s">
        <v>126</v>
      </c>
      <c r="B121" s="76" t="s">
        <v>301</v>
      </c>
      <c r="C121" s="99">
        <v>5.9200592005920101E-3</v>
      </c>
      <c r="D121" s="91">
        <f t="shared" si="16"/>
        <v>5.9200600000000004E-3</v>
      </c>
      <c r="E121" s="25">
        <f>C121*'Totals and MOU%s'!$C$26</f>
        <v>563512.04905974353</v>
      </c>
      <c r="F121" s="30">
        <f>N121*'Totals and MOU%s'!$C$26</f>
        <v>563512.12515290733</v>
      </c>
      <c r="G121" s="75">
        <f t="shared" si="14"/>
        <v>-7.6093163806945086E-2</v>
      </c>
      <c r="H121" s="25">
        <f>C121*'Totals and MOU%s'!$D$26</f>
        <v>129522.49545921147</v>
      </c>
      <c r="I121" s="30">
        <f>N121*'Totals and MOU%s'!$D$26</f>
        <v>129522.51294912404</v>
      </c>
      <c r="J121" s="75">
        <f t="shared" si="15"/>
        <v>-1.748991257045418E-2</v>
      </c>
      <c r="K121" s="73">
        <f>C121*'Totals and MOU%s'!$E$26</f>
        <v>254112.66632361678</v>
      </c>
      <c r="L121" s="73">
        <f t="shared" si="17"/>
        <v>1640181.755361527</v>
      </c>
      <c r="M121" s="100" t="e">
        <f>_xlfn.XLOOKUP(B121,#REF!,#REF!)</f>
        <v>#REF!</v>
      </c>
      <c r="N121" s="100">
        <v>5.9200600000000004E-3</v>
      </c>
      <c r="O121" s="92" t="str">
        <f t="shared" si="18"/>
        <v>Allocation Match</v>
      </c>
      <c r="P121" s="91">
        <f t="shared" si="19"/>
        <v>0</v>
      </c>
    </row>
    <row r="122" spans="1:16" x14ac:dyDescent="0.25">
      <c r="A122" t="s">
        <v>127</v>
      </c>
      <c r="B122" s="76" t="s">
        <v>302</v>
      </c>
      <c r="C122" s="99">
        <v>1.370013700137E-3</v>
      </c>
      <c r="D122" s="91">
        <f t="shared" si="16"/>
        <v>1.3700100000000001E-3</v>
      </c>
      <c r="E122" s="25">
        <f>C122*'Totals and MOU%s'!$C$26</f>
        <v>130407.34919119041</v>
      </c>
      <c r="F122" s="30">
        <f>N122*'Totals and MOU%s'!$C$26</f>
        <v>130406.9969866411</v>
      </c>
      <c r="G122" s="75">
        <f t="shared" si="14"/>
        <v>0.35220454931550194</v>
      </c>
      <c r="H122" s="25">
        <f>C122*'Totals and MOU%s'!$D$26</f>
        <v>29973.95587485125</v>
      </c>
      <c r="I122" s="30">
        <f>N122*'Totals and MOU%s'!$D$26</f>
        <v>29973.874921103739</v>
      </c>
      <c r="J122" s="75">
        <f t="shared" si="15"/>
        <v>8.09537475106481E-2</v>
      </c>
      <c r="K122" s="73">
        <f>C122*'Totals and MOU%s'!$E$26</f>
        <v>58806.478524215272</v>
      </c>
      <c r="L122" s="73">
        <f t="shared" si="17"/>
        <v>379569.08865629864</v>
      </c>
      <c r="M122" s="100" t="e">
        <f>_xlfn.XLOOKUP(B122,#REF!,#REF!)</f>
        <v>#REF!</v>
      </c>
      <c r="N122" s="100">
        <v>1.3700100000000001E-3</v>
      </c>
      <c r="O122" s="92" t="str">
        <f t="shared" si="18"/>
        <v>Allocation Match</v>
      </c>
      <c r="P122" s="91">
        <f t="shared" si="19"/>
        <v>0</v>
      </c>
    </row>
    <row r="123" spans="1:16" x14ac:dyDescent="0.25">
      <c r="A123" t="s">
        <v>128</v>
      </c>
      <c r="B123" s="76" t="s">
        <v>303</v>
      </c>
      <c r="C123" s="99">
        <v>1.4170141701417E-2</v>
      </c>
      <c r="D123" s="91">
        <f t="shared" si="16"/>
        <v>1.4170139999999999E-2</v>
      </c>
      <c r="E123" s="25">
        <f>C123*'Totals and MOU%s'!$C$26</f>
        <v>1348811.7795906337</v>
      </c>
      <c r="F123" s="30">
        <f>N123*'Totals and MOU%s'!$C$26</f>
        <v>1348807.8101622637</v>
      </c>
      <c r="G123" s="75">
        <f t="shared" si="14"/>
        <v>3.9694283700082451</v>
      </c>
      <c r="H123" s="25">
        <f>C123*'Totals and MOU%s'!$D$26</f>
        <v>310022.59470557829</v>
      </c>
      <c r="I123" s="30">
        <f>N123*'Totals and MOU%s'!$D$26</f>
        <v>310021.68233774358</v>
      </c>
      <c r="J123" s="75">
        <f t="shared" si="15"/>
        <v>0.91236783470958471</v>
      </c>
      <c r="K123" s="73">
        <f>C123*'Totals and MOU%s'!$E$26</f>
        <v>608239.27057527762</v>
      </c>
      <c r="L123" s="73">
        <f t="shared" si="17"/>
        <v>3925908.0191677017</v>
      </c>
      <c r="M123" s="100" t="e">
        <f>_xlfn.XLOOKUP(B123,#REF!,#REF!)</f>
        <v>#REF!</v>
      </c>
      <c r="N123" s="100">
        <v>1.41701E-2</v>
      </c>
      <c r="O123" s="92" t="str">
        <f t="shared" si="18"/>
        <v>Difference</v>
      </c>
      <c r="P123" s="91">
        <f t="shared" si="19"/>
        <v>-3.9999999999762448E-8</v>
      </c>
    </row>
    <row r="124" spans="1:16" x14ac:dyDescent="0.25">
      <c r="A124" t="s">
        <v>129</v>
      </c>
      <c r="B124" s="76" t="s">
        <v>304</v>
      </c>
      <c r="C124" s="99">
        <v>1.4430144301443E-2</v>
      </c>
      <c r="D124" s="91">
        <f t="shared" si="16"/>
        <v>1.4430139999999999E-2</v>
      </c>
      <c r="E124" s="25">
        <f>C124*'Totals and MOU%s'!$C$26</f>
        <v>1373560.6195831224</v>
      </c>
      <c r="F124" s="30">
        <f>N124*'Totals and MOU%s'!$C$26</f>
        <v>1373556.4026663525</v>
      </c>
      <c r="G124" s="75">
        <f t="shared" si="14"/>
        <v>4.2169167699757963</v>
      </c>
      <c r="H124" s="25">
        <f>C124*'Totals and MOU%s'!$D$26</f>
        <v>315711.08268182742</v>
      </c>
      <c r="I124" s="30">
        <f>N124*'Totals and MOU%s'!$D$26</f>
        <v>315710.11342911294</v>
      </c>
      <c r="J124" s="75">
        <f t="shared" si="15"/>
        <v>0.96925271447980776</v>
      </c>
      <c r="K124" s="73">
        <f>C124*'Totals and MOU%s'!$E$26</f>
        <v>619399.62416381482</v>
      </c>
      <c r="L124" s="73">
        <f t="shared" si="17"/>
        <v>3997943.0286937142</v>
      </c>
      <c r="M124" s="100" t="e">
        <f>_xlfn.XLOOKUP(B124,#REF!,#REF!)</f>
        <v>#REF!</v>
      </c>
      <c r="N124" s="100">
        <v>1.44301E-2</v>
      </c>
      <c r="O124" s="92" t="str">
        <f t="shared" si="18"/>
        <v>Difference</v>
      </c>
      <c r="P124" s="91">
        <f t="shared" si="19"/>
        <v>-3.9999999999762448E-8</v>
      </c>
    </row>
    <row r="125" spans="1:16" x14ac:dyDescent="0.25">
      <c r="A125" t="s">
        <v>130</v>
      </c>
      <c r="B125" s="76" t="s">
        <v>130</v>
      </c>
      <c r="C125" s="99">
        <v>4.4000440004400001E-3</v>
      </c>
      <c r="D125" s="91">
        <f t="shared" si="16"/>
        <v>4.40004E-3</v>
      </c>
      <c r="E125" s="25">
        <f>C125*'Totals and MOU%s'!$C$26</f>
        <v>418826.52294980863</v>
      </c>
      <c r="F125" s="30">
        <f>N125*'Totals and MOU%s'!$C$26</f>
        <v>418826.14216034941</v>
      </c>
      <c r="G125" s="75">
        <f t="shared" si="14"/>
        <v>0.38078945921733975</v>
      </c>
      <c r="H125" s="25">
        <f>C125*'Totals and MOU%s'!$D$26</f>
        <v>96266.719598062409</v>
      </c>
      <c r="I125" s="30">
        <f>N125*'Totals and MOU%s'!$D$26</f>
        <v>96266.63207411136</v>
      </c>
      <c r="J125" s="75">
        <f t="shared" si="15"/>
        <v>8.7523951049661264E-2</v>
      </c>
      <c r="K125" s="73">
        <f>C125*'Totals and MOU%s'!$E$26</f>
        <v>188867.5222675527</v>
      </c>
      <c r="L125" s="73">
        <f t="shared" si="17"/>
        <v>1219054.0073632949</v>
      </c>
      <c r="M125" s="100" t="e">
        <f>_xlfn.XLOOKUP(B125,#REF!,#REF!)</f>
        <v>#REF!</v>
      </c>
      <c r="N125" s="100">
        <v>4.40004E-3</v>
      </c>
      <c r="O125" s="92" t="str">
        <f t="shared" si="18"/>
        <v>Allocation Match</v>
      </c>
      <c r="P125" s="91">
        <f t="shared" si="19"/>
        <v>0</v>
      </c>
    </row>
    <row r="126" spans="1:16" x14ac:dyDescent="0.25">
      <c r="A126" t="s">
        <v>131</v>
      </c>
      <c r="B126" s="76" t="s">
        <v>131</v>
      </c>
      <c r="C126" s="99">
        <v>7.1000710007100096E-3</v>
      </c>
      <c r="D126" s="91">
        <f t="shared" si="16"/>
        <v>7.10007E-3</v>
      </c>
      <c r="E126" s="25">
        <f>C126*'Totals and MOU%s'!$C$26</f>
        <v>675833.70748719212</v>
      </c>
      <c r="F126" s="30">
        <f>N126*'Totals and MOU%s'!$C$26</f>
        <v>675833.61223271419</v>
      </c>
      <c r="G126" s="75">
        <f t="shared" si="14"/>
        <v>9.5254477928392589E-2</v>
      </c>
      <c r="H126" s="25">
        <f>C126*'Totals and MOU%s'!$D$26</f>
        <v>155339.47935141911</v>
      </c>
      <c r="I126" s="30">
        <f>N126*'Totals and MOU%s'!$D$26</f>
        <v>155339.45745730397</v>
      </c>
      <c r="J126" s="75">
        <f t="shared" si="15"/>
        <v>2.1894115139730275E-2</v>
      </c>
      <c r="K126" s="73">
        <f>C126*'Totals and MOU%s'!$E$26</f>
        <v>304763.50184082409</v>
      </c>
      <c r="L126" s="73">
        <f t="shared" si="17"/>
        <v>1967109.8755180466</v>
      </c>
      <c r="M126" s="100" t="e">
        <f>_xlfn.XLOOKUP(B126,#REF!,#REF!)</f>
        <v>#REF!</v>
      </c>
      <c r="N126" s="100">
        <v>7.10007E-3</v>
      </c>
      <c r="O126" s="92" t="str">
        <f t="shared" si="18"/>
        <v>Allocation Match</v>
      </c>
      <c r="P126" s="91">
        <f t="shared" si="19"/>
        <v>0</v>
      </c>
    </row>
    <row r="127" spans="1:16" x14ac:dyDescent="0.25">
      <c r="A127" t="s">
        <v>132</v>
      </c>
      <c r="B127" s="76" t="s">
        <v>305</v>
      </c>
      <c r="C127" s="99">
        <v>5.8000580005799997E-4</v>
      </c>
      <c r="D127" s="91">
        <f t="shared" si="16"/>
        <v>5.8001000000000005E-4</v>
      </c>
      <c r="E127" s="25">
        <f>C127*'Totals and MOU%s'!$C$26</f>
        <v>55208.950752474768</v>
      </c>
      <c r="F127" s="30">
        <f>N127*'Totals and MOU%s'!$C$26</f>
        <v>55208.969784332781</v>
      </c>
      <c r="G127" s="75">
        <f t="shared" si="14"/>
        <v>-1.9031858013477176E-2</v>
      </c>
      <c r="H127" s="25">
        <f>C127*'Totals and MOU%s'!$D$26</f>
        <v>12689.703947017317</v>
      </c>
      <c r="I127" s="30">
        <f>N127*'Totals and MOU%s'!$D$26</f>
        <v>12689.708321464585</v>
      </c>
      <c r="J127" s="75">
        <f t="shared" si="15"/>
        <v>-4.3744472677644808E-3</v>
      </c>
      <c r="K127" s="73">
        <f>C127*'Totals and MOU%s'!$E$26</f>
        <v>24896.173389813765</v>
      </c>
      <c r="L127" s="73">
        <f t="shared" si="17"/>
        <v>160693.48278879793</v>
      </c>
      <c r="M127" s="100" t="e">
        <f>_xlfn.XLOOKUP(B127,#REF!,#REF!)</f>
        <v>#REF!</v>
      </c>
      <c r="N127" s="100">
        <v>5.8000599999999999E-4</v>
      </c>
      <c r="O127" s="92" t="str">
        <f t="shared" si="18"/>
        <v>Difference</v>
      </c>
      <c r="P127" s="91">
        <f t="shared" si="19"/>
        <v>-4.000000000062981E-9</v>
      </c>
    </row>
    <row r="128" spans="1:16" x14ac:dyDescent="0.25">
      <c r="A128" t="s">
        <v>133</v>
      </c>
      <c r="B128" s="76" t="s">
        <v>306</v>
      </c>
      <c r="C128" s="99">
        <v>8.1000810008099999E-4</v>
      </c>
      <c r="D128" s="91">
        <f t="shared" si="16"/>
        <v>8.1001000000000001E-4</v>
      </c>
      <c r="E128" s="25">
        <f>C128*'Totals and MOU%s'!$C$26</f>
        <v>77102.155361214769</v>
      </c>
      <c r="F128" s="30">
        <f>N128*'Totals and MOU%s'!$C$26</f>
        <v>77102.145834815208</v>
      </c>
      <c r="G128" s="75">
        <f t="shared" si="14"/>
        <v>9.5263995608547702E-3</v>
      </c>
      <c r="H128" s="25">
        <f>C128*'Totals and MOU%s'!$D$26</f>
        <v>17721.827926006943</v>
      </c>
      <c r="I128" s="30">
        <f>N128*'Totals and MOU%s'!$D$26</f>
        <v>17721.825736376668</v>
      </c>
      <c r="J128" s="75">
        <f t="shared" si="15"/>
        <v>2.1896302750974428E-3</v>
      </c>
      <c r="K128" s="73">
        <f>C128*'Totals and MOU%s'!$E$26</f>
        <v>34768.793871981288</v>
      </c>
      <c r="L128" s="73">
        <f t="shared" si="17"/>
        <v>224416.76044642471</v>
      </c>
      <c r="M128" s="100" t="e">
        <f>_xlfn.XLOOKUP(B128,#REF!,#REF!)</f>
        <v>#REF!</v>
      </c>
      <c r="N128" s="100">
        <v>8.1000799999999997E-4</v>
      </c>
      <c r="O128" s="92" t="str">
        <f t="shared" si="18"/>
        <v>Difference</v>
      </c>
      <c r="P128" s="91">
        <f t="shared" si="19"/>
        <v>-2.0000000000314905E-9</v>
      </c>
    </row>
    <row r="129" spans="1:16" x14ac:dyDescent="0.25">
      <c r="A129" t="s">
        <v>134</v>
      </c>
      <c r="B129" s="76" t="s">
        <v>307</v>
      </c>
      <c r="C129" s="99">
        <v>1.6060160601606002E-2</v>
      </c>
      <c r="D129" s="91">
        <f t="shared" si="16"/>
        <v>1.606016E-2</v>
      </c>
      <c r="E129" s="25">
        <f>C129*'Totals and MOU%s'!$C$26</f>
        <v>1528716.8087668016</v>
      </c>
      <c r="F129" s="30">
        <f>N129*'Totals and MOU%s'!$C$26</f>
        <v>1528720.5589775646</v>
      </c>
      <c r="G129" s="75">
        <f t="shared" si="14"/>
        <v>-3.7502107629552484</v>
      </c>
      <c r="H129" s="25">
        <f>C129*'Totals and MOU%s'!$D$26</f>
        <v>351373.52653292782</v>
      </c>
      <c r="I129" s="30">
        <f>N129*'Totals and MOU%s'!$D$26</f>
        <v>351374.38851388695</v>
      </c>
      <c r="J129" s="75">
        <f t="shared" si="15"/>
        <v>-0.86198095913277939</v>
      </c>
      <c r="K129" s="73">
        <f>C129*'Totals and MOU%s'!$E$26</f>
        <v>689366.45627656742</v>
      </c>
      <c r="L129" s="73">
        <f t="shared" si="17"/>
        <v>4449547.1268760264</v>
      </c>
      <c r="M129" s="100" t="e">
        <f>_xlfn.XLOOKUP(B129,#REF!,#REF!)</f>
        <v>#REF!</v>
      </c>
      <c r="N129" s="100">
        <v>1.60602E-2</v>
      </c>
      <c r="O129" s="92" t="str">
        <f t="shared" si="18"/>
        <v>Difference</v>
      </c>
      <c r="P129" s="91">
        <f t="shared" si="19"/>
        <v>3.9999999999762448E-8</v>
      </c>
    </row>
    <row r="130" spans="1:16" x14ac:dyDescent="0.25">
      <c r="A130" t="s">
        <v>135</v>
      </c>
      <c r="B130" s="76" t="s">
        <v>135</v>
      </c>
      <c r="C130" s="99">
        <v>4.8590485904859003E-2</v>
      </c>
      <c r="D130" s="91">
        <f t="shared" si="16"/>
        <v>4.859049E-2</v>
      </c>
      <c r="E130" s="25">
        <f>C130*'Totals and MOU%s'!$C$26</f>
        <v>4625177.4432116365</v>
      </c>
      <c r="F130" s="30">
        <f>N130*'Totals and MOU%s'!$C$26</f>
        <v>4625178.7848843327</v>
      </c>
      <c r="G130" s="75">
        <f t="shared" si="14"/>
        <v>-1.3416726961731911</v>
      </c>
      <c r="H130" s="25">
        <f>C130*'Totals and MOU%s'!$D$26</f>
        <v>1063090.8875613301</v>
      </c>
      <c r="I130" s="30">
        <f>N130*'Totals and MOU%s'!$D$26</f>
        <v>1063091.1959430159</v>
      </c>
      <c r="J130" s="75">
        <f t="shared" si="15"/>
        <v>-0.30838168575428426</v>
      </c>
      <c r="K130" s="73">
        <f>C130*'Totals and MOU%s'!$E$26</f>
        <v>2085698.3879500877</v>
      </c>
      <c r="L130" s="73">
        <f t="shared" si="17"/>
        <v>13462235.049496021</v>
      </c>
      <c r="M130" s="100" t="e">
        <f>_xlfn.XLOOKUP(B130,#REF!,#REF!)</f>
        <v>#REF!</v>
      </c>
      <c r="N130" s="100">
        <v>4.8590500000000002E-2</v>
      </c>
      <c r="O130" s="92" t="str">
        <f t="shared" si="18"/>
        <v>Difference</v>
      </c>
      <c r="P130" s="91">
        <f t="shared" si="19"/>
        <v>1.0000000001675335E-8</v>
      </c>
    </row>
    <row r="131" spans="1:16" x14ac:dyDescent="0.25">
      <c r="A131" t="s">
        <v>136</v>
      </c>
      <c r="B131" s="76" t="s">
        <v>308</v>
      </c>
      <c r="C131" s="99">
        <v>7.6600766007660099E-3</v>
      </c>
      <c r="D131" s="91">
        <f t="shared" si="16"/>
        <v>7.6600799999999997E-3</v>
      </c>
      <c r="E131" s="25">
        <f>C131*'Totals and MOU%s'!$C$26</f>
        <v>729138.90131716779</v>
      </c>
      <c r="F131" s="30">
        <f>N131*'Totals and MOU%s'!$C$26</f>
        <v>729139.22487969405</v>
      </c>
      <c r="G131" s="75">
        <f t="shared" si="14"/>
        <v>-0.32356252626050264</v>
      </c>
      <c r="H131" s="25">
        <f>C131*'Totals and MOU%s'!$D$26</f>
        <v>167591.60730026342</v>
      </c>
      <c r="I131" s="30">
        <f>N131*'Totals and MOU%s'!$D$26</f>
        <v>167591.68167068</v>
      </c>
      <c r="J131" s="75">
        <f t="shared" si="15"/>
        <v>-7.4370416579768062E-2</v>
      </c>
      <c r="K131" s="73">
        <f>C131*'Totals and MOU%s'!$E$26</f>
        <v>328801.18649305805</v>
      </c>
      <c r="L131" s="73">
        <f t="shared" si="17"/>
        <v>2122262.2037279205</v>
      </c>
      <c r="M131" s="100" t="e">
        <f>_xlfn.XLOOKUP(B131,#REF!,#REF!)</f>
        <v>#REF!</v>
      </c>
      <c r="N131" s="100">
        <v>7.6600799999999997E-3</v>
      </c>
      <c r="O131" s="92" t="str">
        <f t="shared" si="18"/>
        <v>Allocation Match</v>
      </c>
      <c r="P131" s="91">
        <f t="shared" si="19"/>
        <v>0</v>
      </c>
    </row>
    <row r="132" spans="1:16" x14ac:dyDescent="0.25">
      <c r="A132" t="s">
        <v>137</v>
      </c>
      <c r="B132" s="76" t="s">
        <v>309</v>
      </c>
      <c r="C132" s="99">
        <v>9.9600996009960099E-3</v>
      </c>
      <c r="D132" s="91">
        <f t="shared" si="16"/>
        <v>9.9600999999999995E-3</v>
      </c>
      <c r="E132" s="25">
        <f>C132*'Totals and MOU%s'!$C$26</f>
        <v>948070.94740456773</v>
      </c>
      <c r="F132" s="30">
        <f>N132*'Totals and MOU%s'!$C$26</f>
        <v>948070.98538451828</v>
      </c>
      <c r="G132" s="75">
        <f t="shared" si="14"/>
        <v>-3.7979950546287E-2</v>
      </c>
      <c r="H132" s="25">
        <f>C132*'Totals and MOU%s'!$D$26</f>
        <v>217912.84709015969</v>
      </c>
      <c r="I132" s="30">
        <f>N132*'Totals and MOU%s'!$D$26</f>
        <v>217912.85581980084</v>
      </c>
      <c r="J132" s="75">
        <f t="shared" si="15"/>
        <v>-8.7296411511488259E-3</v>
      </c>
      <c r="K132" s="73">
        <f>C132*'Totals and MOU%s'!$E$26</f>
        <v>427527.39131473337</v>
      </c>
      <c r="L132" s="73">
        <f t="shared" si="17"/>
        <v>2759494.9803041876</v>
      </c>
      <c r="M132" s="100" t="e">
        <f>_xlfn.XLOOKUP(B132,#REF!,#REF!)</f>
        <v>#REF!</v>
      </c>
      <c r="N132" s="100">
        <v>9.9600999999999995E-3</v>
      </c>
      <c r="O132" s="92" t="str">
        <f t="shared" si="18"/>
        <v>Allocation Match</v>
      </c>
      <c r="P132" s="91">
        <f t="shared" si="19"/>
        <v>0</v>
      </c>
    </row>
    <row r="133" spans="1:16" x14ac:dyDescent="0.25">
      <c r="A133" t="s">
        <v>138</v>
      </c>
      <c r="B133" s="76" t="s">
        <v>138</v>
      </c>
      <c r="C133" s="99">
        <v>3.6300363003630002E-3</v>
      </c>
      <c r="D133" s="91">
        <f t="shared" si="16"/>
        <v>3.6300400000000002E-3</v>
      </c>
      <c r="E133" s="25">
        <f>C133*'Totals and MOU%s'!$C$26</f>
        <v>345531.88143359212</v>
      </c>
      <c r="F133" s="30">
        <f>N133*'Totals and MOU%s'!$C$26</f>
        <v>345532.23359054798</v>
      </c>
      <c r="G133" s="75">
        <f t="shared" si="14"/>
        <v>-0.35215695586521178</v>
      </c>
      <c r="H133" s="25">
        <f>C133*'Totals and MOU%s'!$D$26</f>
        <v>79420.0436684015</v>
      </c>
      <c r="I133" s="30">
        <f>N133*'Totals and MOU%s'!$D$26</f>
        <v>79420.124611209714</v>
      </c>
      <c r="J133" s="75">
        <f t="shared" si="15"/>
        <v>-8.094280821387656E-2</v>
      </c>
      <c r="K133" s="73">
        <f>C133*'Totals and MOU%s'!$E$26</f>
        <v>155815.70587073098</v>
      </c>
      <c r="L133" s="73">
        <f t="shared" si="17"/>
        <v>1005719.5560747182</v>
      </c>
      <c r="M133" s="100" t="e">
        <f>_xlfn.XLOOKUP(B133,#REF!,#REF!)</f>
        <v>#REF!</v>
      </c>
      <c r="N133" s="100">
        <v>3.6300400000000002E-3</v>
      </c>
      <c r="O133" s="92" t="str">
        <f t="shared" si="18"/>
        <v>Allocation Match</v>
      </c>
      <c r="P133" s="91">
        <f t="shared" si="19"/>
        <v>0</v>
      </c>
    </row>
    <row r="134" spans="1:16" x14ac:dyDescent="0.25">
      <c r="A134" t="s">
        <v>139</v>
      </c>
      <c r="B134" s="76" t="s">
        <v>310</v>
      </c>
      <c r="C134" s="99">
        <v>2.230022300223E-3</v>
      </c>
      <c r="D134" s="91">
        <f t="shared" si="16"/>
        <v>2.2300200000000001E-3</v>
      </c>
      <c r="E134" s="25">
        <f>C134*'Totals and MOU%s'!$C$26</f>
        <v>212268.896858653</v>
      </c>
      <c r="F134" s="30">
        <f>N134*'Totals and MOU%s'!$C$26</f>
        <v>212268.67790756957</v>
      </c>
      <c r="G134" s="75">
        <f t="shared" si="14"/>
        <v>0.21895108342869207</v>
      </c>
      <c r="H134" s="25">
        <f>C134*'Totals and MOU%s'!$D$26</f>
        <v>48789.723796290724</v>
      </c>
      <c r="I134" s="30">
        <f>N134*'Totals and MOU%s'!$D$26</f>
        <v>48789.673470675225</v>
      </c>
      <c r="J134" s="75">
        <f t="shared" si="15"/>
        <v>5.0325615498877596E-2</v>
      </c>
      <c r="K134" s="73">
        <f>C134*'Totals and MOU%s'!$E$26</f>
        <v>95721.494240146028</v>
      </c>
      <c r="L134" s="73">
        <f t="shared" si="17"/>
        <v>617838.73555003351</v>
      </c>
      <c r="M134" s="100" t="e">
        <f>_xlfn.XLOOKUP(B134,#REF!,#REF!)</f>
        <v>#REF!</v>
      </c>
      <c r="N134" s="100">
        <v>2.2300200000000001E-3</v>
      </c>
      <c r="O134" s="92" t="str">
        <f t="shared" si="18"/>
        <v>Allocation Match</v>
      </c>
      <c r="P134" s="91">
        <f t="shared" si="19"/>
        <v>0</v>
      </c>
    </row>
    <row r="135" spans="1:16" x14ac:dyDescent="0.25">
      <c r="A135" t="s">
        <v>140</v>
      </c>
      <c r="B135" s="76" t="s">
        <v>140</v>
      </c>
      <c r="C135" s="99">
        <v>8.6000860008599998E-4</v>
      </c>
      <c r="D135" s="91">
        <f t="shared" ref="D135:D139" si="20">ROUND(C135,8)</f>
        <v>8.6001000000000003E-4</v>
      </c>
      <c r="E135" s="25">
        <f>C135*'Totals and MOU%s'!$C$26</f>
        <v>81861.547667462597</v>
      </c>
      <c r="F135" s="30">
        <f>N135*'Totals and MOU%s'!$C$26</f>
        <v>81861.585734034219</v>
      </c>
      <c r="G135" s="75">
        <f t="shared" si="14"/>
        <v>-3.8066571622039191E-2</v>
      </c>
      <c r="H135" s="25">
        <f>C135*'Totals and MOU%s'!$D$26</f>
        <v>18815.76792143947</v>
      </c>
      <c r="I135" s="30">
        <f>N135*'Totals and MOU%s'!$D$26</f>
        <v>18815.776670990363</v>
      </c>
      <c r="J135" s="75">
        <f t="shared" si="15"/>
        <v>-8.7495508923893794E-3</v>
      </c>
      <c r="K135" s="73">
        <f>C135*'Totals and MOU%s'!$E$26</f>
        <v>36915.015715930756</v>
      </c>
      <c r="L135" s="73">
        <f t="shared" ref="L135:L139" si="21">SUM(E135:K135)</f>
        <v>238269.64689373484</v>
      </c>
      <c r="M135" s="100" t="e">
        <f>_xlfn.XLOOKUP(B135,#REF!,#REF!)</f>
        <v>#REF!</v>
      </c>
      <c r="N135" s="100">
        <v>8.6000900000000001E-4</v>
      </c>
      <c r="O135" s="92" t="str">
        <f t="shared" ref="O135:O139" si="22">IF(N135=D135,"Allocation Match","Difference")</f>
        <v>Difference</v>
      </c>
      <c r="P135" s="91">
        <f t="shared" si="19"/>
        <v>-1.0000000000157452E-9</v>
      </c>
    </row>
    <row r="136" spans="1:16" x14ac:dyDescent="0.25">
      <c r="A136" t="s">
        <v>141</v>
      </c>
      <c r="B136" s="76" t="s">
        <v>141</v>
      </c>
      <c r="C136" s="99">
        <v>6.4900649006490096E-3</v>
      </c>
      <c r="D136" s="91">
        <f t="shared" si="20"/>
        <v>6.4900599999999998E-3</v>
      </c>
      <c r="E136" s="25">
        <f>C136*'Totals and MOU%s'!$C$26</f>
        <v>617769.12135096861</v>
      </c>
      <c r="F136" s="30">
        <f>N136*'Totals and MOU%s'!$C$26</f>
        <v>617768.65487340954</v>
      </c>
      <c r="G136" s="75">
        <f t="shared" ref="G136:G139" si="23">E136-F136</f>
        <v>0.46647755906451494</v>
      </c>
      <c r="H136" s="25">
        <f>C136*'Totals and MOU%s'!$D$26</f>
        <v>141993.41140714227</v>
      </c>
      <c r="I136" s="30">
        <f>N136*'Totals and MOU%s'!$D$26</f>
        <v>141993.30418789535</v>
      </c>
      <c r="J136" s="75">
        <f t="shared" ref="J136:J139" si="24">H136-I136</f>
        <v>0.10721924691461027</v>
      </c>
      <c r="K136" s="73">
        <f>C136*'Totals and MOU%s'!$E$26</f>
        <v>278579.59534464066</v>
      </c>
      <c r="L136" s="73">
        <f t="shared" si="21"/>
        <v>1798104.6608608621</v>
      </c>
      <c r="M136" s="100" t="e">
        <f>_xlfn.XLOOKUP(B136,#REF!,#REF!)</f>
        <v>#REF!</v>
      </c>
      <c r="N136" s="100">
        <v>6.4900599999999998E-3</v>
      </c>
      <c r="O136" s="92" t="str">
        <f t="shared" si="22"/>
        <v>Allocation Match</v>
      </c>
      <c r="P136" s="91">
        <f t="shared" si="19"/>
        <v>0</v>
      </c>
    </row>
    <row r="137" spans="1:16" x14ac:dyDescent="0.25">
      <c r="A137" t="s">
        <v>142</v>
      </c>
      <c r="B137" s="76" t="s">
        <v>311</v>
      </c>
      <c r="C137" s="99">
        <v>1.7560175601756E-2</v>
      </c>
      <c r="D137" s="91">
        <f t="shared" si="20"/>
        <v>1.7560180000000002E-2</v>
      </c>
      <c r="E137" s="25">
        <f>C137*'Totals and MOU%s'!$C$26</f>
        <v>1671498.5779542362</v>
      </c>
      <c r="F137" s="30">
        <f>N137*'Totals and MOU%s'!$C$26</f>
        <v>1671500.9003473078</v>
      </c>
      <c r="G137" s="75">
        <f t="shared" si="23"/>
        <v>-2.3223930716048926</v>
      </c>
      <c r="H137" s="25">
        <f>C137*'Totals and MOU%s'!$D$26</f>
        <v>384191.72639590362</v>
      </c>
      <c r="I137" s="30">
        <f>N137*'Totals and MOU%s'!$D$26</f>
        <v>384192.26019486424</v>
      </c>
      <c r="J137" s="75">
        <f t="shared" si="24"/>
        <v>-0.53379896061960608</v>
      </c>
      <c r="K137" s="73">
        <f>C137*'Totals and MOU%s'!$E$26</f>
        <v>753753.11159505125</v>
      </c>
      <c r="L137" s="73">
        <f t="shared" si="21"/>
        <v>4865133.7202953305</v>
      </c>
      <c r="M137" s="100" t="e">
        <f>_xlfn.XLOOKUP(B137,#REF!,#REF!)</f>
        <v>#REF!</v>
      </c>
      <c r="N137" s="100">
        <v>1.7560200000000002E-2</v>
      </c>
      <c r="O137" s="92" t="str">
        <f t="shared" si="22"/>
        <v>Difference</v>
      </c>
      <c r="P137" s="91">
        <f t="shared" si="19"/>
        <v>1.9999999999881224E-8</v>
      </c>
    </row>
    <row r="138" spans="1:16" x14ac:dyDescent="0.25">
      <c r="A138" t="s">
        <v>143</v>
      </c>
      <c r="B138" s="76" t="s">
        <v>312</v>
      </c>
      <c r="C138" s="99">
        <v>6.4200642006420096E-3</v>
      </c>
      <c r="D138" s="91">
        <f t="shared" si="20"/>
        <v>6.42006E-3</v>
      </c>
      <c r="E138" s="25">
        <f>C138*'Totals and MOU%s'!$C$26</f>
        <v>611105.97212222172</v>
      </c>
      <c r="F138" s="30">
        <f>N138*'Totals and MOU%s'!$C$26</f>
        <v>611105.572276155</v>
      </c>
      <c r="G138" s="75">
        <f>E138-F138</f>
        <v>0.39984606672078371</v>
      </c>
      <c r="H138" s="25">
        <f>C138*'Totals and MOU%s'!$D$26</f>
        <v>140461.89541353672</v>
      </c>
      <c r="I138" s="30">
        <f>N138*'Totals and MOU%s'!$D$26</f>
        <v>140461.80350944976</v>
      </c>
      <c r="J138" s="75">
        <f t="shared" si="24"/>
        <v>9.1904086963040754E-2</v>
      </c>
      <c r="K138" s="73">
        <f>C138*'Totals and MOU%s'!$E$26</f>
        <v>275574.88476311142</v>
      </c>
      <c r="L138" s="73">
        <f t="shared" si="21"/>
        <v>1778710.6198346284</v>
      </c>
      <c r="M138" s="100" t="e">
        <f>_xlfn.XLOOKUP(B138,#REF!,#REF!)</f>
        <v>#REF!</v>
      </c>
      <c r="N138" s="100">
        <v>6.42006E-3</v>
      </c>
      <c r="O138" s="92" t="str">
        <f t="shared" si="22"/>
        <v>Allocation Match</v>
      </c>
      <c r="P138" s="91">
        <f t="shared" si="19"/>
        <v>0</v>
      </c>
    </row>
    <row r="139" spans="1:16" x14ac:dyDescent="0.25">
      <c r="A139" t="s">
        <v>144</v>
      </c>
      <c r="B139" s="76" t="s">
        <v>313</v>
      </c>
      <c r="C139" s="99">
        <v>5.6100561005610096E-3</v>
      </c>
      <c r="D139" s="91">
        <f t="shared" si="20"/>
        <v>5.61006E-3</v>
      </c>
      <c r="E139" s="25">
        <f>C139*'Totals and MOU%s'!$C$26</f>
        <v>534003.81676100695</v>
      </c>
      <c r="F139" s="30">
        <f>N139*'Totals and MOU%s'!$C$26</f>
        <v>534004.18793649366</v>
      </c>
      <c r="G139" s="75">
        <f t="shared" si="23"/>
        <v>-0.37117548671085387</v>
      </c>
      <c r="H139" s="25">
        <f>C139*'Totals and MOU%s'!$D$26</f>
        <v>122740.06748752978</v>
      </c>
      <c r="I139" s="30">
        <f>N139*'Totals and MOU%s'!$D$26</f>
        <v>122740.15280172207</v>
      </c>
      <c r="J139" s="75">
        <f t="shared" si="24"/>
        <v>-8.5314192285295576E-2</v>
      </c>
      <c r="K139" s="73">
        <f>C139*'Totals and MOU%s'!$E$26</f>
        <v>240806.09089113009</v>
      </c>
      <c r="L139" s="73">
        <f t="shared" si="21"/>
        <v>1554293.8593882036</v>
      </c>
      <c r="M139" s="100" t="e">
        <f>_xlfn.XLOOKUP(B139,#REF!,#REF!)</f>
        <v>#REF!</v>
      </c>
      <c r="N139" s="100">
        <v>5.61006E-3</v>
      </c>
      <c r="O139" s="92" t="str">
        <f t="shared" si="22"/>
        <v>Allocation Match</v>
      </c>
      <c r="P139" s="91">
        <f t="shared" si="19"/>
        <v>0</v>
      </c>
    </row>
    <row r="140" spans="1:16" x14ac:dyDescent="0.25">
      <c r="L140" s="25"/>
    </row>
    <row r="141" spans="1:16" ht="16.5" thickBot="1" x14ac:dyDescent="0.3">
      <c r="A141" s="23" t="s">
        <v>11</v>
      </c>
      <c r="B141" s="77"/>
      <c r="C141" s="23"/>
      <c r="D141" s="87"/>
      <c r="E141" s="27">
        <f t="shared" ref="E141:K141" si="25">SUM(E7:E139)</f>
        <v>95186894.246495292</v>
      </c>
      <c r="F141" s="103">
        <f t="shared" si="25"/>
        <v>95186875.685051024</v>
      </c>
      <c r="G141" s="102">
        <f t="shared" si="25"/>
        <v>18.561444315106201</v>
      </c>
      <c r="H141" s="27">
        <f t="shared" si="25"/>
        <v>21878581.120651465</v>
      </c>
      <c r="I141" s="103">
        <f t="shared" si="25"/>
        <v>21878576.854328159</v>
      </c>
      <c r="J141" s="102">
        <f t="shared" si="25"/>
        <v>4.2663233038610997</v>
      </c>
      <c r="K141" s="27">
        <f t="shared" si="25"/>
        <v>42924007.634620473</v>
      </c>
      <c r="L141" s="27">
        <f t="shared" ref="L141" si="26">SUM(E141:K141)</f>
        <v>277054958.36891401</v>
      </c>
      <c r="M141" s="30"/>
    </row>
    <row r="142" spans="1:16" ht="17.25" thickTop="1" thickBot="1" x14ac:dyDescent="0.3">
      <c r="E142" s="178">
        <f>F141+G141</f>
        <v>95186894.246495336</v>
      </c>
      <c r="F142" s="110"/>
      <c r="G142" s="110"/>
      <c r="H142" s="178">
        <f>I141+J141</f>
        <v>21878581.120651465</v>
      </c>
    </row>
    <row r="143" spans="1:16" ht="16.5" thickTop="1" x14ac:dyDescent="0.25"/>
  </sheetData>
  <sheetProtection algorithmName="SHA-512" hashValue="3RbvdPVskKU9fWSl/L5+Eak7v+UCNBj66SFV5HxFeYjRnHpdGGqEp9j4z/sLn8M42lkgWKaqbbfLINpMnJSGvA==" saltValue="l2lySPjHs4/6ZXYyE38APQ==" spinCount="100000" sheet="1" objects="1" scenarios="1"/>
  <autoFilter ref="A6:R139" xr:uid="{0F4EC2DF-2F13-4B8C-8C3E-2FDC6B62363C}"/>
  <mergeCells count="2">
    <mergeCell ref="B2:J2"/>
    <mergeCell ref="B3:J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3" ma:contentTypeDescription="Create a new document." ma:contentTypeScope="" ma:versionID="8523ebf45600da0e4919b9860217c43e">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4f25abd7efc668b9e244b83aa8803102"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ACB7B9-706E-4C72-B304-2923AA09F6D5}">
  <ds:schemaRefs>
    <ds:schemaRef ds:uri="http://schemas.microsoft.com/sharepoint/v3/contenttype/forms"/>
  </ds:schemaRefs>
</ds:datastoreItem>
</file>

<file path=customXml/itemProps2.xml><?xml version="1.0" encoding="utf-8"?>
<ds:datastoreItem xmlns:ds="http://schemas.openxmlformats.org/officeDocument/2006/customXml" ds:itemID="{9437037F-4664-4D63-8868-929A98EA325B}">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ad83dc8e-a8c3-4e20-bb0b-4a527d3e0e89"/>
    <ds:schemaRef ds:uri="a73c7124-56d8-4958-90ba-2cf07eebd3cb"/>
    <ds:schemaRef ds:uri="http://purl.org/dc/terms/"/>
  </ds:schemaRefs>
</ds:datastoreItem>
</file>

<file path=customXml/itemProps3.xml><?xml version="1.0" encoding="utf-8"?>
<ds:datastoreItem xmlns:ds="http://schemas.openxmlformats.org/officeDocument/2006/customXml" ds:itemID="{8A651750-9281-48F2-86B1-8953620E5318}">
  <ds:schemaRefs>
    <ds:schemaRef ds:uri="http://schemas.microsoft.com/DataMashup"/>
  </ds:schemaRefs>
</ds:datastoreItem>
</file>

<file path=customXml/itemProps4.xml><?xml version="1.0" encoding="utf-8"?>
<ds:datastoreItem xmlns:ds="http://schemas.openxmlformats.org/officeDocument/2006/customXml" ds:itemID="{07CEE22C-8AF2-4F63-A2B4-E44477314F96}"/>
</file>

<file path=customXml/itemProps5.xml><?xml version="1.0" encoding="utf-8"?>
<ds:datastoreItem xmlns:ds="http://schemas.openxmlformats.org/officeDocument/2006/customXml" ds:itemID="{EEB47D4C-EBB5-48D8-BD3D-AF58D6E001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Locality Look-Up Tool</vt:lpstr>
      <vt:lpstr>Totals and MOU%s</vt:lpstr>
      <vt:lpstr>Dist - VA Totals</vt:lpstr>
      <vt:lpstr>Jan - VA Totals</vt:lpstr>
      <vt:lpstr>Local allocations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Mcdowell, Tony (GOV)</dc:creator>
  <cp:lastModifiedBy>Tony McDowell</cp:lastModifiedBy>
  <cp:lastPrinted>1900-01-01T00:00:00Z</cp:lastPrinted>
  <dcterms:created xsi:type="dcterms:W3CDTF">1900-01-01T00:00:00Z</dcterms:created>
  <dcterms:modified xsi:type="dcterms:W3CDTF">2022-12-07T16:33:59Z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_dlc_DocIdItemGuid">
    <vt:lpwstr>31ada23a-df8b-49c1-8606-dd8bcd71677d</vt:lpwstr>
  </property>
</Properties>
</file>